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rgroupnew-my.sharepoint.com/personal/upaj_m_rrgroup_com_np/Documents/Desktop/steamlit_app/data/"/>
    </mc:Choice>
  </mc:AlternateContent>
  <xr:revisionPtr revIDLastSave="4548" documentId="11_E60897F41BE170836B02CE998F75CCDC64E183C8" xr6:coauthVersionLast="47" xr6:coauthVersionMax="47" xr10:uidLastSave="{91717516-FF6E-4FD6-89A2-B3B85E106F50}"/>
  <bookViews>
    <workbookView xWindow="-108" yWindow="-108" windowWidth="23256" windowHeight="12456" firstSheet="3" activeTab="6" xr2:uid="{00000000-000D-0000-FFFF-FFFF00000000}"/>
  </bookViews>
  <sheets>
    <sheet name="0.0 Master" sheetId="1" r:id="rId1"/>
    <sheet name="GSA Agreement &amp; Validity" sheetId="14" r:id="rId2"/>
    <sheet name="Reminder" sheetId="23" r:id="rId3"/>
    <sheet name="Bank Guarantee Received" sheetId="21" r:id="rId4"/>
    <sheet name="Issued Bank Guarantee" sheetId="13" r:id="rId5"/>
    <sheet name="HBL Non Funded Limit " sheetId="22" r:id="rId6"/>
    <sheet name="MBL Non Funded Limit" sheetId="19" r:id="rId7"/>
    <sheet name="Jazeera Turnover Tax" sheetId="16" r:id="rId8"/>
    <sheet name="Registration and Renewal" sheetId="17" r:id="rId9"/>
    <sheet name="BG Report_Dipendra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4" l="1"/>
  <c r="G7" i="14"/>
  <c r="H7" i="14"/>
  <c r="I7" i="14"/>
  <c r="F2" i="14"/>
  <c r="F3" i="14"/>
  <c r="F4" i="14"/>
  <c r="F5" i="14"/>
  <c r="F6" i="14"/>
  <c r="K6" i="22" l="1"/>
  <c r="D8" i="22"/>
  <c r="L12" i="13"/>
  <c r="L11" i="13"/>
  <c r="L10" i="13"/>
  <c r="L9" i="13"/>
  <c r="L8" i="13"/>
  <c r="L7" i="13"/>
  <c r="L6" i="13"/>
  <c r="L5" i="13"/>
  <c r="L4" i="13"/>
  <c r="L3" i="13"/>
  <c r="D9" i="19"/>
  <c r="D6" i="19"/>
  <c r="D5" i="19"/>
  <c r="D4" i="19"/>
  <c r="D3" i="19"/>
  <c r="D4" i="22"/>
  <c r="K16" i="21" l="1"/>
  <c r="K15" i="21"/>
  <c r="K14" i="21"/>
  <c r="K13" i="21"/>
  <c r="K12" i="21"/>
  <c r="K11" i="21"/>
  <c r="K10" i="21"/>
  <c r="K9" i="21"/>
  <c r="K8" i="21"/>
  <c r="K7" i="21"/>
  <c r="K6" i="21"/>
  <c r="K5" i="21"/>
  <c r="K4" i="21"/>
  <c r="K3" i="21"/>
  <c r="K2" i="21"/>
  <c r="F18" i="22"/>
  <c r="F17" i="22"/>
  <c r="F16" i="22"/>
  <c r="E11" i="22"/>
  <c r="C8" i="22"/>
  <c r="K5" i="22"/>
  <c r="K4" i="22"/>
  <c r="G4" i="22"/>
  <c r="K3" i="22"/>
  <c r="E2" i="22"/>
  <c r="O2" i="22" s="1"/>
  <c r="R2" i="22" s="1"/>
  <c r="G9" i="19"/>
  <c r="F20" i="19"/>
  <c r="F21" i="19"/>
  <c r="F22" i="19"/>
  <c r="K6" i="19"/>
  <c r="K9" i="19"/>
  <c r="K7" i="19"/>
  <c r="K4" i="19"/>
  <c r="K3" i="19"/>
  <c r="K5" i="19"/>
  <c r="G6" i="19"/>
  <c r="G5" i="19"/>
  <c r="G4" i="19"/>
  <c r="F3" i="19"/>
  <c r="G3" i="19" s="1"/>
  <c r="L2" i="13"/>
  <c r="G6" i="14"/>
  <c r="H6" i="14"/>
  <c r="I6" i="14"/>
  <c r="E15" i="19"/>
  <c r="H11" i="13"/>
  <c r="D7" i="19"/>
  <c r="C12" i="19"/>
  <c r="E2" i="19"/>
  <c r="G2" i="14"/>
  <c r="G3" i="14"/>
  <c r="G4" i="14"/>
  <c r="G5" i="14"/>
  <c r="E3" i="22" l="1"/>
  <c r="E4" i="22" s="1"/>
  <c r="E5" i="22" s="1"/>
  <c r="E6" i="22" s="1"/>
  <c r="D10" i="22"/>
  <c r="E3" i="19"/>
  <c r="E4" i="19" s="1"/>
  <c r="E5" i="19" s="1"/>
  <c r="E7" i="19" s="1"/>
  <c r="E8" i="19" s="1"/>
  <c r="E9" i="19" s="1"/>
  <c r="E6" i="19" s="1"/>
  <c r="D12" i="19"/>
  <c r="D14" i="19" s="1"/>
  <c r="D24" i="19" s="1"/>
  <c r="D26" i="19" s="1"/>
  <c r="D30" i="19" s="1"/>
  <c r="O2" i="19"/>
  <c r="R2" i="19" s="1"/>
  <c r="D17" i="16"/>
  <c r="D21" i="16" s="1"/>
  <c r="E17" i="16"/>
  <c r="C17" i="16"/>
  <c r="D12" i="22" l="1"/>
  <c r="F12" i="22" s="1"/>
  <c r="D20" i="22"/>
  <c r="D22" i="22" s="1"/>
  <c r="D26" i="22" s="1"/>
  <c r="D16" i="19"/>
  <c r="F16" i="19" s="1"/>
  <c r="F23" i="19" s="1"/>
  <c r="F25" i="19" s="1"/>
  <c r="H9" i="16"/>
  <c r="G9" i="16"/>
  <c r="I9" i="16" s="1"/>
  <c r="F13" i="22" l="1"/>
  <c r="F19" i="22"/>
  <c r="F21" i="22" s="1"/>
  <c r="F17" i="19"/>
  <c r="G10" i="16"/>
  <c r="H10" i="16"/>
  <c r="I10" i="16" l="1"/>
  <c r="H11" i="16"/>
  <c r="G11" i="16"/>
  <c r="I11" i="16" l="1"/>
  <c r="H12" i="16"/>
  <c r="G12" i="16"/>
  <c r="I12" i="16" s="1"/>
  <c r="H13" i="16" l="1"/>
  <c r="G13" i="16"/>
  <c r="I13" i="16" l="1"/>
  <c r="I2" i="14"/>
  <c r="I5" i="14"/>
  <c r="H5" i="14"/>
  <c r="I4" i="14"/>
  <c r="H4" i="14"/>
  <c r="I3" i="14"/>
  <c r="H3" i="14"/>
  <c r="H2" i="14"/>
  <c r="I14" i="16" l="1"/>
  <c r="F17" i="16"/>
  <c r="F18" i="16" s="1"/>
  <c r="D18" i="16"/>
  <c r="G7" i="16"/>
  <c r="G8" i="16"/>
  <c r="H8" i="16"/>
  <c r="H7" i="16"/>
  <c r="H6" i="16"/>
  <c r="H5" i="16"/>
  <c r="H4" i="16"/>
  <c r="H3" i="16"/>
  <c r="H2" i="16"/>
  <c r="G6" i="16"/>
  <c r="G5" i="16"/>
  <c r="G4" i="16"/>
  <c r="G3" i="16"/>
  <c r="G2" i="16"/>
  <c r="H6" i="13"/>
  <c r="I2" i="16"/>
  <c r="I4" i="16" l="1"/>
  <c r="I5" i="16"/>
  <c r="I3" i="16"/>
  <c r="I8" i="16"/>
  <c r="H17" i="16"/>
  <c r="H18" i="16" s="1"/>
  <c r="I7" i="16"/>
  <c r="I6" i="16"/>
  <c r="G17" i="16"/>
  <c r="G18" i="16" s="1"/>
  <c r="I17" i="16" l="1"/>
  <c r="I18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Upaj Manandhar</author>
  </authors>
  <commentList>
    <comment ref="G7" authorId="0" shapeId="0" xr:uid="{089DBD63-888D-472E-BCDC-BBD134C8797D}">
      <text>
        <r>
          <rPr>
            <sz val="11"/>
            <color theme="1"/>
            <rFont val="Calibri"/>
            <family val="2"/>
            <scheme val="minor"/>
          </rPr>
          <t>Upaj Manandhar:
Excess Tax paid in FY 2020-21 as per the calculation sheet shared by Jazeera</t>
        </r>
      </text>
    </comment>
  </commentList>
</comments>
</file>

<file path=xl/sharedStrings.xml><?xml version="1.0" encoding="utf-8"?>
<sst xmlns="http://schemas.openxmlformats.org/spreadsheetml/2006/main" count="537" uniqueCount="271">
  <si>
    <t>S.No</t>
  </si>
  <si>
    <t>Particulars</t>
  </si>
  <si>
    <t>Pg. No</t>
  </si>
  <si>
    <t>Link</t>
  </si>
  <si>
    <t>Bank Reconciliation</t>
  </si>
  <si>
    <t>D:\Curves colors\Society Finance Group - Documents\Finance Department Reports\Bank Recon\MBL ( WE )
D:\Curves colors\Society Finance Group - Documents\Finance Department Reports\Bank Recon</t>
  </si>
  <si>
    <t>Payment Details</t>
  </si>
  <si>
    <t>CAAN Invoice &amp; Payment</t>
  </si>
  <si>
    <t>done</t>
  </si>
  <si>
    <t>NAC Invoice &amp; Payment</t>
  </si>
  <si>
    <t>NTB Invoice &amp; Payment</t>
  </si>
  <si>
    <t>Revenue Details</t>
  </si>
  <si>
    <t>Sales ORC FLT Income</t>
  </si>
  <si>
    <t>Purchase Expenses</t>
  </si>
  <si>
    <t>Indirect Expenses</t>
  </si>
  <si>
    <t>Airlines BSP and Remittance</t>
  </si>
  <si>
    <t>Airlines Local Sales and Remittance</t>
  </si>
  <si>
    <t>Airlines Debtors</t>
  </si>
  <si>
    <t>Taxation Details</t>
  </si>
  <si>
    <t>ETDS Working and Filing</t>
  </si>
  <si>
    <t>VAT Working and Filing</t>
  </si>
  <si>
    <t>Assets Liabilities Details</t>
  </si>
  <si>
    <t>Fixed Assets Register</t>
  </si>
  <si>
    <t>Bank Guarantee Details</t>
  </si>
  <si>
    <t>Sundry Debtors Status</t>
  </si>
  <si>
    <t>Payable Status</t>
  </si>
  <si>
    <t>Provisional Financial Statement</t>
  </si>
  <si>
    <t>Daybook Compilation</t>
  </si>
  <si>
    <t>SOA Reports</t>
  </si>
  <si>
    <t>D:\Curves colors\Society Finance Group - Documents\Thai Smile Report\SOA Report ( WE )</t>
  </si>
  <si>
    <t>Nature</t>
  </si>
  <si>
    <t> </t>
  </si>
  <si>
    <t>SN</t>
  </si>
  <si>
    <t>Airlines</t>
  </si>
  <si>
    <t>Valid Till</t>
  </si>
  <si>
    <t>Apply Date for Renewal</t>
  </si>
  <si>
    <t>Clean Due Date</t>
  </si>
  <si>
    <t>30 days time check</t>
  </si>
  <si>
    <t>15 days time check</t>
  </si>
  <si>
    <t>24 Hours Check</t>
  </si>
  <si>
    <t>Email</t>
  </si>
  <si>
    <t>Jazeera Airways KSC</t>
  </si>
  <si>
    <t xml:space="preserve">PT Garuda Indonesia </t>
  </si>
  <si>
    <t>Wizz Air Abu Dhabi</t>
  </si>
  <si>
    <t>Tuesday, February 28, 2023</t>
  </si>
  <si>
    <t>Bhutan Airlines</t>
  </si>
  <si>
    <t>Sichuan Airlines</t>
  </si>
  <si>
    <t>Limit (NPR)</t>
  </si>
  <si>
    <t>Utilization (NPR)</t>
  </si>
  <si>
    <t>Balance (NPR)</t>
  </si>
  <si>
    <t>USD Eq.</t>
  </si>
  <si>
    <t>Ex Rate</t>
  </si>
  <si>
    <t>Expiry Date</t>
  </si>
  <si>
    <t>Collateral Valuation</t>
  </si>
  <si>
    <t>Ratio</t>
  </si>
  <si>
    <t>Limit Provided by MBL</t>
  </si>
  <si>
    <t>Garuda Indonesia Airways</t>
  </si>
  <si>
    <t>Grand Total</t>
  </si>
  <si>
    <t>Balance Limit</t>
  </si>
  <si>
    <t>Eq. Rate</t>
  </si>
  <si>
    <t>Balance Limit USD</t>
  </si>
  <si>
    <t>Soon Expiry</t>
  </si>
  <si>
    <t>Oct</t>
  </si>
  <si>
    <t>Aug</t>
  </si>
  <si>
    <t>Jan</t>
  </si>
  <si>
    <t>3cr</t>
  </si>
  <si>
    <t>Total Limit</t>
  </si>
  <si>
    <t>Summary</t>
  </si>
  <si>
    <t>NPR</t>
  </si>
  <si>
    <t>USD</t>
  </si>
  <si>
    <t>MBL Limit</t>
  </si>
  <si>
    <t>30 cr</t>
  </si>
  <si>
    <t>Used</t>
  </si>
  <si>
    <t>22.2 cr</t>
  </si>
  <si>
    <t>Balance</t>
  </si>
  <si>
    <t>7.8 cr</t>
  </si>
  <si>
    <t>590k USD</t>
  </si>
  <si>
    <t>TG BG Requirement</t>
  </si>
  <si>
    <t>19.8 cr</t>
  </si>
  <si>
    <t>1500k USD</t>
  </si>
  <si>
    <t>Shortfall</t>
  </si>
  <si>
    <t>12 cr</t>
  </si>
  <si>
    <t>910k USD</t>
  </si>
  <si>
    <t>Financial Year</t>
  </si>
  <si>
    <t>Month</t>
  </si>
  <si>
    <t>No of Pax 5%</t>
  </si>
  <si>
    <t>Sales Revenue 5%</t>
  </si>
  <si>
    <t>No of Pax 2%</t>
  </si>
  <si>
    <t>Sales Revenue 2%</t>
  </si>
  <si>
    <t>Turnover Tax 5%</t>
  </si>
  <si>
    <t>Turnover Tax 2%</t>
  </si>
  <si>
    <t>Total Turnover Tax</t>
  </si>
  <si>
    <t>Payment Status</t>
  </si>
  <si>
    <t>Payment Voucher Details</t>
  </si>
  <si>
    <t>Payment Date</t>
  </si>
  <si>
    <t>Document Source</t>
  </si>
  <si>
    <t>2022-23</t>
  </si>
  <si>
    <t>01. July</t>
  </si>
  <si>
    <t>July-Dec 2022</t>
  </si>
  <si>
    <t>02. August</t>
  </si>
  <si>
    <t>03. September</t>
  </si>
  <si>
    <t>04. October</t>
  </si>
  <si>
    <t>05. November</t>
  </si>
  <si>
    <t>06. December</t>
  </si>
  <si>
    <t>07. January</t>
  </si>
  <si>
    <t>08. February</t>
  </si>
  <si>
    <t>09. March</t>
  </si>
  <si>
    <t>10. April</t>
  </si>
  <si>
    <t>11. May</t>
  </si>
  <si>
    <t>12. June</t>
  </si>
  <si>
    <t>13. July</t>
  </si>
  <si>
    <t>Grand Total NPR</t>
  </si>
  <si>
    <t>Equivalent USD</t>
  </si>
  <si>
    <t>Sales in SITS till date</t>
  </si>
  <si>
    <t>SITS %</t>
  </si>
  <si>
    <t>Registration Type</t>
  </si>
  <si>
    <t>Registration Entity</t>
  </si>
  <si>
    <t>Organization Name</t>
  </si>
  <si>
    <t>Start Period</t>
  </si>
  <si>
    <t>Supporting Document</t>
  </si>
  <si>
    <t>GSA Operation License</t>
  </si>
  <si>
    <t>CAAN</t>
  </si>
  <si>
    <t>SOciety International</t>
  </si>
  <si>
    <t>Certificate Link</t>
  </si>
  <si>
    <t>Bank Guarantor</t>
  </si>
  <si>
    <t>Bank Guarantee</t>
  </si>
  <si>
    <t>Bank Guarantee USD</t>
  </si>
  <si>
    <t>Bank Guarantee NPR</t>
  </si>
  <si>
    <t>Start Date</t>
  </si>
  <si>
    <t>Claim Date</t>
  </si>
  <si>
    <t>Status</t>
  </si>
  <si>
    <t>Society Intl TS</t>
  </si>
  <si>
    <t>GSA</t>
  </si>
  <si>
    <t>MBL</t>
  </si>
  <si>
    <t>Expired</t>
  </si>
  <si>
    <t>GSA License</t>
  </si>
  <si>
    <t>HBL</t>
  </si>
  <si>
    <t>GHS</t>
  </si>
  <si>
    <t>Marvelous Travel</t>
  </si>
  <si>
    <t>Beneficiary</t>
  </si>
  <si>
    <t>On Behalf of:</t>
  </si>
  <si>
    <t>BG Type</t>
  </si>
  <si>
    <t>CBG No</t>
  </si>
  <si>
    <t>Issue Date</t>
  </si>
  <si>
    <t>Currency</t>
  </si>
  <si>
    <t xml:space="preserve"> Amount </t>
  </si>
  <si>
    <t>Initiated From</t>
  </si>
  <si>
    <t>Maturity Date /Validity of BG</t>
  </si>
  <si>
    <t>NEPAL RASTRA BANK</t>
  </si>
  <si>
    <t>SI</t>
  </si>
  <si>
    <t>PBOND</t>
  </si>
  <si>
    <t>CIBLPB016002-003</t>
  </si>
  <si>
    <t>23.10.2022</t>
  </si>
  <si>
    <t>CBL</t>
  </si>
  <si>
    <t>02.11.2024</t>
  </si>
  <si>
    <t>02.11.2026</t>
  </si>
  <si>
    <t>B3</t>
  </si>
  <si>
    <t>NEPAL TOURISM BOARD</t>
  </si>
  <si>
    <t>CIBLPB022002-081</t>
  </si>
  <si>
    <t>31.10.2022</t>
  </si>
  <si>
    <t>31.10.2027</t>
  </si>
  <si>
    <t>GO AIRLINES INDIA LTD</t>
  </si>
  <si>
    <t>CIBLPB019002-029</t>
  </si>
  <si>
    <t>08.08.2021</t>
  </si>
  <si>
    <t>12.07.2023</t>
  </si>
  <si>
    <t>JAZEERA AIRWAYS KSC</t>
  </si>
  <si>
    <t>CBG</t>
  </si>
  <si>
    <t>003LGPB193500001</t>
  </si>
  <si>
    <t>04.03.2022</t>
  </si>
  <si>
    <t>04.03.2023</t>
  </si>
  <si>
    <t>04.03.2024</t>
  </si>
  <si>
    <t>003LGPB221770001</t>
  </si>
  <si>
    <t>29.06.2022</t>
  </si>
  <si>
    <t>22.06.2023</t>
  </si>
  <si>
    <t>PT GARUDA INDONESIA TBK</t>
  </si>
  <si>
    <t>040COGTE7900003</t>
  </si>
  <si>
    <t>22.03.2022</t>
  </si>
  <si>
    <t>07.03.2023</t>
  </si>
  <si>
    <t>07.03.2024</t>
  </si>
  <si>
    <t>THAI SMILE AIRWAYS</t>
  </si>
  <si>
    <t>040COGTE7900001</t>
  </si>
  <si>
    <t>25.01.202</t>
  </si>
  <si>
    <t>25.01.2023</t>
  </si>
  <si>
    <t>25.01.2024</t>
  </si>
  <si>
    <t>CIVIL AVIATION AUTHORITY OF NEPAL</t>
  </si>
  <si>
    <t>CIBLPB021002-039</t>
  </si>
  <si>
    <t>31.10.2023</t>
  </si>
  <si>
    <t>WE</t>
  </si>
  <si>
    <t>CIBLBB022002-041</t>
  </si>
  <si>
    <t>17.06.2022</t>
  </si>
  <si>
    <t>26.06.2023</t>
  </si>
  <si>
    <t>CIBLPB022002-078</t>
  </si>
  <si>
    <t>14.10.2022</t>
  </si>
  <si>
    <t>14.11.2023</t>
  </si>
  <si>
    <t>Thai Airways International Public Company Limited</t>
  </si>
  <si>
    <t>Issuance Bank</t>
  </si>
  <si>
    <t>upaj.m@rrgroup.com.np</t>
  </si>
  <si>
    <t>Staus</t>
  </si>
  <si>
    <t>BG No</t>
  </si>
  <si>
    <t>040COGTE7900002</t>
  </si>
  <si>
    <t>040COGTE8000002</t>
  </si>
  <si>
    <t>THAI AIRWAYS INTERNATIONAL PUBLIC COMPANY LIMITED</t>
  </si>
  <si>
    <t>040COGTE8100001</t>
  </si>
  <si>
    <t>MINISTRY OF LABOR, EMPLOYMENT AND SOCIAL SECURITY , DEPARTMENT OF FOREIGN EMPLOY</t>
  </si>
  <si>
    <t>040BBGTE8200004</t>
  </si>
  <si>
    <t>040COGTE8200001</t>
  </si>
  <si>
    <t>040COGTE8200002</t>
  </si>
  <si>
    <t>Limit Provided by HBL</t>
  </si>
  <si>
    <t>Civil Aviation Authority of Nepal (CAAN)</t>
  </si>
  <si>
    <t>Nepal Airline Corporation (NAC)</t>
  </si>
  <si>
    <t>Nepal Rastra Bank (NRB)</t>
  </si>
  <si>
    <t>BG No.</t>
  </si>
  <si>
    <t>Bon Travels (J9)</t>
  </si>
  <si>
    <t xml:space="preserve">Society int'l Travels </t>
  </si>
  <si>
    <t xml:space="preserve">Travel Agency </t>
  </si>
  <si>
    <t>PBGA122NPR00125</t>
  </si>
  <si>
    <t>Global IME</t>
  </si>
  <si>
    <t>Excel Tours and Travels (J9)</t>
  </si>
  <si>
    <t>P02401P0206801</t>
  </si>
  <si>
    <t>Prabhu Bank</t>
  </si>
  <si>
    <t>Harvest Moon Travels (J9)</t>
  </si>
  <si>
    <t>144PBGT-0119/24</t>
  </si>
  <si>
    <t xml:space="preserve">Laxmi sunrise </t>
  </si>
  <si>
    <t>City Travels &amp; Tours Pvt.Ltd.-J9</t>
  </si>
  <si>
    <t>PBG8424NPR01563</t>
  </si>
  <si>
    <t>Prayas Travel and Tours (J9)</t>
  </si>
  <si>
    <t>001GUAPB21-0195</t>
  </si>
  <si>
    <t>NIBL</t>
  </si>
  <si>
    <t>001GUAPB19-0467</t>
  </si>
  <si>
    <t>SR022-PB-003/22</t>
  </si>
  <si>
    <t>Great Journey Travels (J9)</t>
  </si>
  <si>
    <t>PBG00223NPR00027</t>
  </si>
  <si>
    <t>IME Travel J9</t>
  </si>
  <si>
    <t>144PBGT-0163/24</t>
  </si>
  <si>
    <t>Sea Link Travels &amp; Tours Pvt. Ltd. - J9</t>
  </si>
  <si>
    <t>PBGA124NPR00084</t>
  </si>
  <si>
    <t>Prayas travel J9</t>
  </si>
  <si>
    <t>NIMB</t>
  </si>
  <si>
    <t>Green line Holidays J9</t>
  </si>
  <si>
    <t xml:space="preserve">Prabhu bank </t>
  </si>
  <si>
    <t xml:space="preserve">No date </t>
  </si>
  <si>
    <t>Light Travel j9</t>
  </si>
  <si>
    <t xml:space="preserve">Global IME </t>
  </si>
  <si>
    <t>Type</t>
  </si>
  <si>
    <t>Cheque</t>
  </si>
  <si>
    <t>BG</t>
  </si>
  <si>
    <t>BG Great journey travel J9..pdf</t>
  </si>
  <si>
    <t>Excel Travel BG..pdf</t>
  </si>
  <si>
    <t>Harvest moon BG..pdf</t>
  </si>
  <si>
    <t>Prayas Travel BG.pdf</t>
  </si>
  <si>
    <t>Sea link Travel BG..pdf</t>
  </si>
  <si>
    <t>EPS Tender</t>
  </si>
  <si>
    <t>Foreign Currency License</t>
  </si>
  <si>
    <t>Reference No</t>
  </si>
  <si>
    <t>Nepal Tourism Board (NTB)</t>
  </si>
  <si>
    <t>Ime Travels Pvt Ltd.pdf</t>
  </si>
  <si>
    <t>Marvelous Travels tours Pvt Ltd.pdf</t>
  </si>
  <si>
    <t>Bon Travel and tour pvt Ltd.pdf</t>
  </si>
  <si>
    <t>Akasa Air</t>
  </si>
  <si>
    <t>30 May, 2023</t>
  </si>
  <si>
    <r>
      <t>31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August, 2025</t>
    </r>
  </si>
  <si>
    <r>
      <t>30</t>
    </r>
    <r>
      <rPr>
        <vertAlign val="superscript"/>
        <sz val="11"/>
        <color theme="1"/>
        <rFont val="Cambria"/>
        <family val="1"/>
      </rPr>
      <t>th</t>
    </r>
    <r>
      <rPr>
        <sz val="11"/>
        <color theme="1"/>
        <rFont val="Cambria"/>
        <family val="1"/>
      </rPr>
      <t xml:space="preserve"> May, 2025</t>
    </r>
  </si>
  <si>
    <r>
      <t>31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Dec. 2025</t>
    </r>
  </si>
  <si>
    <r>
      <t>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Dec. 2025</t>
    </r>
  </si>
  <si>
    <r>
      <t>31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March, 2026</t>
    </r>
  </si>
  <si>
    <r>
      <t>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January, 2026</t>
    </r>
  </si>
  <si>
    <r>
      <t>31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July, 2027</t>
    </r>
  </si>
  <si>
    <r>
      <t>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July, 2027</t>
    </r>
  </si>
  <si>
    <r>
      <t>31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March, 2027</t>
    </r>
  </si>
  <si>
    <r>
      <t>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March, 2027</t>
    </r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</si>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</sst>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  <numFmt numFmtId="173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mbria"/>
      <family val="1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sz val="9"/>
      <name val="Cambria"/>
      <family val="1"/>
    </font>
    <font>
      <sz val="9"/>
      <color theme="0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egoe UI"/>
      <family val="2"/>
    </font>
    <font>
      <sz val="8"/>
      <name val="Calibri"/>
      <family val="2"/>
      <scheme val="minor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43" fontId="0" fillId="0" borderId="0" xfId="0" applyNumberFormat="1"/>
    <xf numFmtId="43" fontId="0" fillId="0" borderId="0" xfId="0" applyNumberFormat="1" applyAlignment="1">
      <alignment horizontal="right"/>
    </xf>
    <xf numFmtId="43" fontId="2" fillId="0" borderId="0" xfId="0" applyNumberFormat="1" applyFont="1" applyAlignment="1">
      <alignment horizontal="right"/>
    </xf>
    <xf numFmtId="0" fontId="0" fillId="0" borderId="0" xfId="0" quotePrefix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43" fontId="0" fillId="0" borderId="1" xfId="0" applyNumberFormat="1" applyBorder="1"/>
    <xf numFmtId="43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3" fillId="0" borderId="0" xfId="0" applyNumberFormat="1" applyFont="1"/>
    <xf numFmtId="0" fontId="4" fillId="0" borderId="0" xfId="1" quotePrefix="1"/>
    <xf numFmtId="0" fontId="4" fillId="0" borderId="0" xfId="1"/>
    <xf numFmtId="0" fontId="5" fillId="3" borderId="0" xfId="0" applyFont="1" applyFill="1"/>
    <xf numFmtId="0" fontId="8" fillId="0" borderId="7" xfId="0" applyFont="1" applyBorder="1"/>
    <xf numFmtId="43" fontId="8" fillId="0" borderId="7" xfId="0" applyNumberFormat="1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right" vertical="center" wrapText="1"/>
    </xf>
    <xf numFmtId="43" fontId="10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43" fontId="2" fillId="0" borderId="0" xfId="2" applyFont="1" applyAlignment="1">
      <alignment horizontal="right"/>
    </xf>
    <xf numFmtId="43" fontId="0" fillId="0" borderId="0" xfId="2" applyFont="1"/>
    <xf numFmtId="43" fontId="2" fillId="0" borderId="0" xfId="2" applyFont="1"/>
    <xf numFmtId="164" fontId="2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 applyAlignment="1">
      <alignment horizontal="right"/>
    </xf>
    <xf numFmtId="164" fontId="0" fillId="0" borderId="0" xfId="2" applyNumberFormat="1" applyFont="1" applyAlignment="1">
      <alignment horizontal="right"/>
    </xf>
    <xf numFmtId="9" fontId="0" fillId="0" borderId="0" xfId="3" applyFont="1"/>
    <xf numFmtId="17" fontId="4" fillId="0" borderId="0" xfId="1" applyNumberFormat="1"/>
    <xf numFmtId="0" fontId="4" fillId="0" borderId="0" xfId="1" applyAlignment="1">
      <alignment horizontal="centerContinuous"/>
    </xf>
    <xf numFmtId="0" fontId="0" fillId="0" borderId="0" xfId="0" applyAlignment="1">
      <alignment horizontal="centerContinuous"/>
    </xf>
    <xf numFmtId="0" fontId="12" fillId="4" borderId="1" xfId="0" applyFont="1" applyFill="1" applyBorder="1"/>
    <xf numFmtId="43" fontId="12" fillId="4" borderId="1" xfId="0" applyNumberFormat="1" applyFont="1" applyFill="1" applyBorder="1"/>
    <xf numFmtId="165" fontId="0" fillId="0" borderId="0" xfId="0" applyNumberFormat="1"/>
    <xf numFmtId="43" fontId="12" fillId="4" borderId="1" xfId="0" applyNumberFormat="1" applyFont="1" applyFill="1" applyBorder="1" applyAlignment="1">
      <alignment horizontal="right"/>
    </xf>
    <xf numFmtId="43" fontId="0" fillId="0" borderId="1" xfId="0" applyNumberFormat="1" applyBorder="1" applyAlignment="1">
      <alignment horizontal="right"/>
    </xf>
    <xf numFmtId="43" fontId="2" fillId="0" borderId="1" xfId="0" applyNumberFormat="1" applyFont="1" applyBorder="1" applyAlignment="1">
      <alignment horizontal="right"/>
    </xf>
    <xf numFmtId="165" fontId="2" fillId="0" borderId="0" xfId="0" applyNumberFormat="1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43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14" fontId="13" fillId="0" borderId="0" xfId="0" applyNumberFormat="1" applyFont="1"/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43" fontId="13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3" fontId="13" fillId="0" borderId="0" xfId="0" applyNumberFormat="1" applyFont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4" fillId="0" borderId="0" xfId="1" quotePrefix="1" applyFill="1"/>
    <xf numFmtId="0" fontId="4" fillId="0" borderId="0" xfId="1" applyFill="1"/>
    <xf numFmtId="43" fontId="12" fillId="4" borderId="10" xfId="0" applyNumberFormat="1" applyFont="1" applyFill="1" applyBorder="1"/>
    <xf numFmtId="14" fontId="12" fillId="4" borderId="10" xfId="0" applyNumberFormat="1" applyFont="1" applyFill="1" applyBorder="1"/>
    <xf numFmtId="0" fontId="12" fillId="4" borderId="10" xfId="0" applyFont="1" applyFill="1" applyBorder="1" applyAlignment="1">
      <alignment horizontal="center" vertical="center"/>
    </xf>
    <xf numFmtId="0" fontId="12" fillId="4" borderId="10" xfId="0" applyFont="1" applyFill="1" applyBorder="1"/>
    <xf numFmtId="43" fontId="12" fillId="4" borderId="10" xfId="0" applyNumberFormat="1" applyFont="1" applyFill="1" applyBorder="1" applyAlignment="1">
      <alignment horizontal="right"/>
    </xf>
    <xf numFmtId="165" fontId="12" fillId="4" borderId="10" xfId="0" applyNumberFormat="1" applyFont="1" applyFill="1" applyBorder="1"/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/>
    <xf numFmtId="43" fontId="14" fillId="0" borderId="3" xfId="0" applyNumberFormat="1" applyFont="1" applyBorder="1" applyAlignment="1">
      <alignment horizontal="right"/>
    </xf>
    <xf numFmtId="165" fontId="14" fillId="0" borderId="3" xfId="0" applyNumberFormat="1" applyFont="1" applyBorder="1"/>
    <xf numFmtId="43" fontId="14" fillId="0" borderId="3" xfId="0" applyNumberFormat="1" applyFont="1" applyBorder="1"/>
    <xf numFmtId="14" fontId="14" fillId="0" borderId="3" xfId="0" applyNumberFormat="1" applyFont="1" applyBorder="1"/>
    <xf numFmtId="15" fontId="15" fillId="0" borderId="3" xfId="0" applyNumberFormat="1" applyFont="1" applyBorder="1"/>
    <xf numFmtId="0" fontId="15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43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/>
    <xf numFmtId="43" fontId="2" fillId="0" borderId="3" xfId="0" applyNumberFormat="1" applyFont="1" applyBorder="1"/>
    <xf numFmtId="14" fontId="2" fillId="0" borderId="3" xfId="0" applyNumberFormat="1" applyFont="1" applyBorder="1"/>
    <xf numFmtId="0" fontId="14" fillId="0" borderId="3" xfId="0" applyFont="1" applyBorder="1" applyAlignment="1">
      <alignment wrapText="1"/>
    </xf>
    <xf numFmtId="43" fontId="0" fillId="0" borderId="8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15" fontId="0" fillId="5" borderId="3" xfId="0" applyNumberFormat="1" applyFill="1" applyBorder="1" applyAlignment="1">
      <alignment horizontal="center"/>
    </xf>
    <xf numFmtId="0" fontId="5" fillId="0" borderId="0" xfId="0" applyFont="1" applyFill="1"/>
    <xf numFmtId="43" fontId="0" fillId="0" borderId="0" xfId="0" applyNumberFormat="1" applyAlignment="1">
      <alignment horizontal="center"/>
    </xf>
    <xf numFmtId="173" fontId="0" fillId="0" borderId="3" xfId="2" applyNumberFormat="1" applyFont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43" fontId="2" fillId="0" borderId="0" xfId="0" applyNumberFormat="1" applyFont="1" applyFill="1" applyAlignment="1">
      <alignment horizontal="center"/>
    </xf>
    <xf numFmtId="43" fontId="2" fillId="0" borderId="0" xfId="0" applyNumberFormat="1" applyFont="1" applyFill="1"/>
    <xf numFmtId="0" fontId="2" fillId="0" borderId="0" xfId="0" applyFont="1" applyFill="1"/>
    <xf numFmtId="0" fontId="7" fillId="0" borderId="4" xfId="0" applyFont="1" applyFill="1" applyBorder="1"/>
    <xf numFmtId="14" fontId="4" fillId="0" borderId="0" xfId="1" applyNumberFormat="1" applyFill="1"/>
    <xf numFmtId="0" fontId="7" fillId="0" borderId="4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9" xfId="0" applyFont="1" applyFill="1" applyBorder="1"/>
    <xf numFmtId="0" fontId="6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7" fillId="0" borderId="0" xfId="0" applyFont="1" applyFill="1"/>
    <xf numFmtId="14" fontId="17" fillId="0" borderId="0" xfId="0" applyNumberFormat="1" applyFont="1" applyFill="1" applyAlignment="1">
      <alignment horizontal="center"/>
    </xf>
    <xf numFmtId="14" fontId="17" fillId="0" borderId="0" xfId="0" applyNumberFormat="1" applyFont="1" applyFill="1"/>
    <xf numFmtId="14" fontId="7" fillId="0" borderId="0" xfId="0" applyNumberFormat="1" applyFont="1" applyFill="1"/>
    <xf numFmtId="0" fontId="17" fillId="0" borderId="0" xfId="0" applyFont="1"/>
    <xf numFmtId="14" fontId="17" fillId="0" borderId="0" xfId="0" applyNumberFormat="1" applyFont="1" applyFill="1" applyBorder="1" applyAlignment="1">
      <alignment horizontal="center"/>
    </xf>
    <xf numFmtId="14" fontId="17" fillId="0" borderId="0" xfId="0" applyNumberFormat="1" applyFont="1" applyFill="1" applyBorder="1"/>
    <xf numFmtId="14" fontId="7" fillId="0" borderId="0" xfId="0" applyNumberFormat="1" applyFont="1" applyFill="1" applyBorder="1"/>
    <xf numFmtId="0" fontId="0" fillId="0" borderId="0" xfId="0" applyFill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11"/>
        <name val="Cambria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11"/>
        <name val="Cambria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11"/>
        <name val="Cambria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11"/>
        <name val="Cambria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rgb="FF000000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strike val="0"/>
        <outline val="0"/>
        <shadow val="0"/>
        <u val="none"/>
        <sz val="11"/>
        <color rgb="FF000000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3" formatCode="_(* #,##0.0_);_(* \(#,##0.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rgb="FF9BC2E6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197E0-2C3F-409E-98B5-59E0B9ECEB7C}" name="GSA_Validity" displayName="GSA_Validity" ref="A1:J7" totalsRowShown="0" headerRowDxfId="10" dataDxfId="9" tableBorderDxfId="48">
  <autoFilter ref="A1:J7" xr:uid="{1E7197E0-2C3F-409E-98B5-59E0B9ECEB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451C9BB-66CE-4967-B519-D785DC55AC4E}" name="SN" dataDxfId="8"/>
    <tableColumn id="2" xr3:uid="{12C92A88-E9C0-4F1B-9520-9AC223D2FF06}" name="Airlines" dataDxfId="7"/>
    <tableColumn id="3" xr3:uid="{4857853C-E92E-4685-86D9-6DE2CD9E1674}" name="Valid Till" dataDxfId="6"/>
    <tableColumn id="4" xr3:uid="{639EF144-7F2E-4E24-B816-11DA51DAA6C7}" name="Apply Date for Renewal" dataDxfId="5"/>
    <tableColumn id="5" xr3:uid="{7FF8ADDC-BB48-4926-97E5-972F5FDA0165}" name="Clean Due Date" dataDxfId="4"/>
    <tableColumn id="10" xr3:uid="{BC09DBCF-6ACC-40AC-A557-A980A9A04C28}" name="Staus" dataDxfId="3">
      <calculatedColumnFormula>IF(TODAY()&gt;GSA_Validity[[#This Row],[Clean Due Date]],"Expired","Active")</calculatedColumnFormula>
    </tableColumn>
    <tableColumn id="6" xr3:uid="{BC3FA787-299A-4E17-A518-E801D1ECA4C5}" name="30 days time check" dataDxfId="2">
      <calculatedColumnFormula>IF(E2=TODAY()+30,TRUE,FALSE)</calculatedColumnFormula>
    </tableColumn>
    <tableColumn id="7" xr3:uid="{F46BEE71-B18C-41CE-B34D-0395E8099523}" name="15 days time check" dataDxfId="1">
      <calculatedColumnFormula>IF(E2=TODAY()+15,TRUE,FALSE)</calculatedColumnFormula>
    </tableColumn>
    <tableColumn id="8" xr3:uid="{A611D119-B4D2-4695-80B2-2F0C44F565A0}" name="24 Hours Check" dataDxfId="0">
      <calculatedColumnFormula>IF(E2=TODAY()+1,TRUE,FALSE)</calculatedColumnFormula>
    </tableColumn>
    <tableColumn id="9" xr3:uid="{9ABD77AB-4C66-4ECC-A4B8-191B3214B911}" name="Email" dataDxfId="11" dataCellStyle="Hy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1E7380-0B84-4587-BEB9-67AF4BED039C}" name="BG_Report4" displayName="BG_Report4" ref="A1:M16" totalsRowShown="0" headerRowDxfId="47">
  <tableColumns count="13">
    <tableColumn id="1" xr3:uid="{4945BFAA-D448-4A75-86BC-311B5FB9DC21}" name="S.No" dataDxfId="41"/>
    <tableColumn id="2" xr3:uid="{ED781680-FF59-484D-99BA-3E8B33E99C6B}" name="Bank Guarantor" dataDxfId="30"/>
    <tableColumn id="3" xr3:uid="{12B0A6AE-5D55-431B-8157-425708B3F87A}" name="Bank Guarantee" dataDxfId="40"/>
    <tableColumn id="4" xr3:uid="{837C19CA-53EA-4709-8180-06EFEF6CD8BF}" name="Nature" dataDxfId="28"/>
    <tableColumn id="13" xr3:uid="{95BC7D0D-1996-4129-93B2-02A5CB4A4A7E}" name="BG No." dataDxfId="27"/>
    <tableColumn id="5" xr3:uid="{CFAFC146-49A4-4637-8A35-17AF9A0DEF4C}" name="Bank Guarantee USD" dataDxfId="25"/>
    <tableColumn id="6" xr3:uid="{EA578CCC-6E2D-4578-9429-25B2DFCF12BD}" name="Bank Guarantee NPR" dataDxfId="26" dataCellStyle="Comma"/>
    <tableColumn id="7" xr3:uid="{CEF5574F-63FC-4C4A-B23E-8517239378B0}" name="Start Date" dataDxfId="29"/>
    <tableColumn id="8" xr3:uid="{6BF0C6D1-9324-4DFF-8B8B-2639C3912F04}" name="Expiry Date" dataDxfId="22"/>
    <tableColumn id="9" xr3:uid="{F42794A5-EE1C-49AC-93B1-30833E078F9E}" name="Type" dataDxfId="21"/>
    <tableColumn id="14" xr3:uid="{B3440D49-9C50-4E49-812D-529311C4AFC0}" name="Status" dataDxfId="24">
      <calculatedColumnFormula>IF(TODAY()&gt;I2,"Expired","Active")</calculatedColumnFormula>
    </tableColumn>
    <tableColumn id="10" xr3:uid="{D377883B-F385-438E-868B-6F148E038D85}" name="Email" dataDxfId="23" dataCellStyle="Hyperlink"/>
    <tableColumn id="12" xr3:uid="{588B035B-D32B-4796-AE14-37094741D076}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C83EA-D6C9-4DE1-836E-D9A178345103}" name="BG_Report" displayName="BG_Report" ref="A1:N12" totalsRowShown="0" headerRowDxfId="46">
  <tableColumns count="14">
    <tableColumn id="1" xr3:uid="{4AFD7E23-6C2C-41CB-8782-877FAB9B6BBA}" name="S.No" dataDxfId="39"/>
    <tableColumn id="3" xr3:uid="{BA68940F-8DA5-4069-9317-39D932472440}" name="Bank Guarantee" dataDxfId="45"/>
    <tableColumn id="2" xr3:uid="{44F26EAC-82F5-4179-ABFE-B93C9E54F424}" name="Bank Guarantor" dataDxfId="44"/>
    <tableColumn id="4" xr3:uid="{5DBE2722-36AE-4417-8FE3-030AA04A7557}" name="Nature" dataDxfId="43"/>
    <tableColumn id="13" xr3:uid="{0DC86A7D-7005-4FB5-B99F-6863D7CA7DA6}" name="Issuance Bank" dataDxfId="42"/>
    <tableColumn id="15" xr3:uid="{FD334579-99E7-484C-BBDE-5A06759CF149}" name="Reference No"/>
    <tableColumn id="5" xr3:uid="{D69E3B0F-A841-4521-B9A6-B5A478183760}" name="Bank Guarantee USD" dataDxfId="38"/>
    <tableColumn id="6" xr3:uid="{9ED6B194-2FFF-4917-BB11-0D0531F6A9A7}" name="Bank Guarantee NPR" dataDxfId="37"/>
    <tableColumn id="7" xr3:uid="{57F6237F-C0A7-4254-8468-DC261A3E4375}" name="Start Date" dataDxfId="36"/>
    <tableColumn id="8" xr3:uid="{A8A2546B-E4CC-443C-ABD3-DB2455119D66}" name="Expiry Date" dataDxfId="35"/>
    <tableColumn id="9" xr3:uid="{D12354EB-A46C-480C-8B97-12EB49EF4495}" name="Claim Date" dataDxfId="34"/>
    <tableColumn id="14" xr3:uid="{EA6D7E3D-9DC3-4952-B948-A6CEB8A4A8C3}" name="Status" dataDxfId="31">
      <calculatedColumnFormula>IF(TODAY()&gt;BG_Report[[#This Row],[Claim Date]],"Expired","Active")</calculatedColumnFormula>
    </tableColumn>
    <tableColumn id="16" xr3:uid="{AB10E9D0-D473-46F4-B3E1-FE7F95C3CEC7}" name="Email" dataDxfId="33" dataCellStyle="Hyperlink"/>
    <tableColumn id="12" xr3:uid="{093B961D-A4DD-4D4D-828D-0A5CD2CDB3B3}" name="Link" dataDxfId="3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rgroupnew.sharepoint.com/:b:/s/SocietyFinanceGroup/EVqkFo5p4IxGjV3qGNlGuhsB7iPzPNLo5DzBOoVK7xbM8w?e=ljy11W" TargetMode="External"/><Relationship Id="rId3" Type="http://schemas.openxmlformats.org/officeDocument/2006/relationships/hyperlink" Target="https://rrgroupnew.sharepoint.com/:b:/s/SocietyFinanceGroup/EROh6_EYUY1PqY0sUammvGQBjy8Sfc4AVjuZkLVGjTZekg?e=BtURNN" TargetMode="External"/><Relationship Id="rId7" Type="http://schemas.openxmlformats.org/officeDocument/2006/relationships/hyperlink" Target="https://rrgroupnew.sharepoint.com/:b:/s/SocietyFinanceGroup/EedGIn6qs4FFiWSm1-1OBMUBp0nJ46LdWO9sF1R8hFiHJA?e=AwHvSE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rrgroupnew.sharepoint.com/:b:/s/SocietyFinanceGroup/EZPdZVEhfbNMq7LupRX4YxgB1WiKhMzy4tBmNLj2OhQMxw?e=fruflq" TargetMode="External"/><Relationship Id="rId1" Type="http://schemas.openxmlformats.org/officeDocument/2006/relationships/hyperlink" Target="https://rrgroupnew.sharepoint.com/:b:/s/SocietyFinanceGroup/ESPq6HY4L_9NpFY52sthP_wBqXAz7JHbEl1LrffDs6ymIA?e=yukwtd" TargetMode="External"/><Relationship Id="rId6" Type="http://schemas.openxmlformats.org/officeDocument/2006/relationships/hyperlink" Target="https://rrgroupnew.sharepoint.com/:b:/s/SocietyFinanceGroup/ERstmJW2Gg5DvucBTy-qAOUBdE_RvU4uGe64YtB8f71vng?e=ZWTLR2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rrgroupnew.sharepoint.com/:b:/s/SocietyFinanceGroup/EbtquPcbfERCtmDZIxVBJmUBm188tzLoMLHPOigUtKJkcA?e=6yjeH4" TargetMode="External"/><Relationship Id="rId10" Type="http://schemas.openxmlformats.org/officeDocument/2006/relationships/hyperlink" Target="https://rrgroupnew.sharepoint.com/:b:/s/SocietyFinanceGroup/EZ1Ts8WYMF5Gi7gz9SuJoW4BkUikqa8iZtpcYMGp0A_kbg?e=RRkO1N" TargetMode="External"/><Relationship Id="rId4" Type="http://schemas.openxmlformats.org/officeDocument/2006/relationships/hyperlink" Target="https://rrgroupnew.sharepoint.com/:b:/s/SocietyFinanceGroup/ERstmJW2Gg5DvucBTy-qAOUBdE_RvU4uGe64YtB8f71vng?e=ZWTLR2" TargetMode="External"/><Relationship Id="rId9" Type="http://schemas.openxmlformats.org/officeDocument/2006/relationships/hyperlink" Target="https://rrgroupnew.sharepoint.com/:b:/s/SocietyFinanceGroup/EVqkFo5p4IxGjV3qGNlGuhsB7iPzPNLo5DzBOoVK7xbM8w?e=ljy11W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01.%20Finance%20Documents/03.%20Jazeera%20Related%20Data/02.%20Turnover%20Tax/FY%202022-23/Nepal%20turnover%20tax%20FEB%202023.xlsx" TargetMode="External"/><Relationship Id="rId7" Type="http://schemas.openxmlformats.org/officeDocument/2006/relationships/hyperlink" Target="01.%20Finance%20Documents/03.%20Jazeera%20Related%20Data/02.%20Turnover%20Tax/FY%202022-23/Nepal%20turnover%20tax%20Jun-2023.xlsx" TargetMode="External"/><Relationship Id="rId2" Type="http://schemas.openxmlformats.org/officeDocument/2006/relationships/hyperlink" Target="01.%20Finance%20Documents/03.%20Jazeera%20Related%20Data/02.%20Turnover%20Tax/FY%202022-23/Nepal%20turnover%20tax%20Jan%202023.xlsx" TargetMode="External"/><Relationship Id="rId1" Type="http://schemas.openxmlformats.org/officeDocument/2006/relationships/hyperlink" Target="01.%20Finance%20Documents/03.%20Jazeera%20Related%20Data/02.%20Turnover%20Tax/FY%202022-23/Nepal%20turnover%20tax%206%20Jul%20to%20Dec%202022.xlsx" TargetMode="External"/><Relationship Id="rId6" Type="http://schemas.openxmlformats.org/officeDocument/2006/relationships/hyperlink" Target="01.%20Finance%20Documents/03.%20Jazeera%20Related%20Data/02.%20Turnover%20Tax/FY%202022-23/Nepal%20turnover%20tax%20May%202023.xlsx" TargetMode="External"/><Relationship Id="rId5" Type="http://schemas.openxmlformats.org/officeDocument/2006/relationships/hyperlink" Target="01.%20Finance%20Documents/03.%20Jazeera%20Related%20Data/02.%20Turnover%20Tax/FY%202022-23/Nepal%20turnover%20tax%20Apr%202023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01.%20Finance%20Documents/03.%20Jazeera%20Related%20Data/02.%20Turnover%20Tax/FY%202022-23/Nepal%20turnover%20tax%20MAR%202023.xlsx" TargetMode="External"/><Relationship Id="rId9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:b:/g/personal/upaj_m_rrgroup_com_np/EVUi3unP9jlPnLfyGAx-2GwBI1YunXYMIpnMxG51Opckzw?e=anGMp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E25"/>
  <sheetViews>
    <sheetView workbookViewId="0">
      <selection activeCell="D11" sqref="D11"/>
    </sheetView>
  </sheetViews>
  <sheetFormatPr defaultRowHeight="14.4" x14ac:dyDescent="0.3"/>
  <cols>
    <col min="2" max="2" width="34.33203125" customWidth="1"/>
    <col min="4" max="4" width="2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1</v>
      </c>
      <c r="B2" t="s">
        <v>4</v>
      </c>
      <c r="C2">
        <v>1</v>
      </c>
      <c r="D2" s="7" t="s">
        <v>5</v>
      </c>
    </row>
    <row r="3" spans="1:5" x14ac:dyDescent="0.3">
      <c r="B3" s="2" t="s">
        <v>6</v>
      </c>
    </row>
    <row r="4" spans="1:5" x14ac:dyDescent="0.3">
      <c r="A4">
        <v>2</v>
      </c>
      <c r="B4" t="s">
        <v>7</v>
      </c>
      <c r="C4">
        <v>2.1</v>
      </c>
      <c r="E4" t="s">
        <v>8</v>
      </c>
    </row>
    <row r="5" spans="1:5" x14ac:dyDescent="0.3">
      <c r="A5">
        <v>3</v>
      </c>
      <c r="B5" t="s">
        <v>9</v>
      </c>
      <c r="C5">
        <v>2.2000000000000002</v>
      </c>
      <c r="E5" t="s">
        <v>8</v>
      </c>
    </row>
    <row r="6" spans="1:5" x14ac:dyDescent="0.3">
      <c r="B6" t="s">
        <v>10</v>
      </c>
      <c r="C6">
        <v>2.2999999999999998</v>
      </c>
      <c r="E6" t="s">
        <v>8</v>
      </c>
    </row>
    <row r="8" spans="1:5" x14ac:dyDescent="0.3">
      <c r="B8" s="2" t="s">
        <v>11</v>
      </c>
    </row>
    <row r="9" spans="1:5" x14ac:dyDescent="0.3">
      <c r="A9">
        <v>4</v>
      </c>
      <c r="B9" t="s">
        <v>12</v>
      </c>
      <c r="C9">
        <v>3.1</v>
      </c>
      <c r="E9" t="s">
        <v>8</v>
      </c>
    </row>
    <row r="10" spans="1:5" x14ac:dyDescent="0.3">
      <c r="A10">
        <v>5</v>
      </c>
      <c r="B10" t="s">
        <v>13</v>
      </c>
      <c r="C10">
        <v>3.2</v>
      </c>
    </row>
    <row r="11" spans="1:5" x14ac:dyDescent="0.3">
      <c r="A11">
        <v>6</v>
      </c>
      <c r="B11" t="s">
        <v>14</v>
      </c>
      <c r="C11">
        <v>3.3</v>
      </c>
    </row>
    <row r="12" spans="1:5" x14ac:dyDescent="0.3">
      <c r="A12">
        <v>7</v>
      </c>
      <c r="B12" t="s">
        <v>15</v>
      </c>
      <c r="C12">
        <v>3.4</v>
      </c>
      <c r="E12" t="s">
        <v>8</v>
      </c>
    </row>
    <row r="13" spans="1:5" ht="15.75" customHeight="1" x14ac:dyDescent="0.3">
      <c r="A13">
        <v>8</v>
      </c>
      <c r="B13" t="s">
        <v>16</v>
      </c>
      <c r="C13">
        <v>3.5</v>
      </c>
    </row>
    <row r="14" spans="1:5" x14ac:dyDescent="0.3">
      <c r="A14">
        <v>9</v>
      </c>
      <c r="B14" t="s">
        <v>17</v>
      </c>
      <c r="C14">
        <v>3.6</v>
      </c>
    </row>
    <row r="15" spans="1:5" x14ac:dyDescent="0.3">
      <c r="B15" s="2" t="s">
        <v>18</v>
      </c>
    </row>
    <row r="16" spans="1:5" x14ac:dyDescent="0.3">
      <c r="A16">
        <v>8</v>
      </c>
      <c r="B16" t="s">
        <v>19</v>
      </c>
      <c r="C16">
        <v>4.0999999999999996</v>
      </c>
    </row>
    <row r="17" spans="1:4" ht="15.75" customHeight="1" x14ac:dyDescent="0.3">
      <c r="A17">
        <v>9</v>
      </c>
      <c r="B17" t="s">
        <v>20</v>
      </c>
      <c r="C17">
        <v>4.2</v>
      </c>
    </row>
    <row r="18" spans="1:4" ht="15.75" customHeight="1" x14ac:dyDescent="0.3">
      <c r="B18" s="2" t="s">
        <v>21</v>
      </c>
    </row>
    <row r="19" spans="1:4" x14ac:dyDescent="0.3">
      <c r="A19">
        <v>10</v>
      </c>
      <c r="B19" t="s">
        <v>22</v>
      </c>
      <c r="C19">
        <v>10</v>
      </c>
    </row>
    <row r="20" spans="1:4" x14ac:dyDescent="0.3">
      <c r="A20">
        <v>11</v>
      </c>
      <c r="B20" t="s">
        <v>23</v>
      </c>
      <c r="C20">
        <v>11</v>
      </c>
    </row>
    <row r="21" spans="1:4" x14ac:dyDescent="0.3">
      <c r="A21">
        <v>12</v>
      </c>
      <c r="B21" t="s">
        <v>24</v>
      </c>
      <c r="C21">
        <v>12</v>
      </c>
    </row>
    <row r="22" spans="1:4" x14ac:dyDescent="0.3">
      <c r="A22">
        <v>13</v>
      </c>
      <c r="B22" t="s">
        <v>25</v>
      </c>
      <c r="C22">
        <v>13</v>
      </c>
    </row>
    <row r="23" spans="1:4" x14ac:dyDescent="0.3">
      <c r="A23">
        <v>14</v>
      </c>
      <c r="B23" t="s">
        <v>26</v>
      </c>
    </row>
    <row r="24" spans="1:4" x14ac:dyDescent="0.3">
      <c r="A24">
        <v>12</v>
      </c>
      <c r="B24" t="s">
        <v>27</v>
      </c>
      <c r="C24">
        <v>12</v>
      </c>
    </row>
    <row r="25" spans="1:4" x14ac:dyDescent="0.3">
      <c r="A25">
        <v>13</v>
      </c>
      <c r="B25" t="s">
        <v>28</v>
      </c>
      <c r="C25">
        <v>13</v>
      </c>
      <c r="D25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2556-FE92-4E97-97BD-7C49378DB9E1}">
  <sheetPr>
    <tabColor rgb="FF92D050"/>
  </sheetPr>
  <dimension ref="A1:K11"/>
  <sheetViews>
    <sheetView topLeftCell="C1" workbookViewId="0">
      <selection activeCell="C5" sqref="C5"/>
    </sheetView>
  </sheetViews>
  <sheetFormatPr defaultRowHeight="14.4" x14ac:dyDescent="0.3"/>
  <cols>
    <col min="1" max="1" width="7.44140625" style="15" customWidth="1"/>
    <col min="2" max="2" width="26.5546875" bestFit="1" customWidth="1"/>
    <col min="3" max="3" width="29.88671875" style="28" bestFit="1" customWidth="1"/>
    <col min="4" max="4" width="27.5546875" style="28" bestFit="1" customWidth="1"/>
    <col min="5" max="5" width="19.5546875" style="98" bestFit="1" customWidth="1"/>
    <col min="6" max="6" width="19.5546875" style="4" customWidth="1"/>
    <col min="7" max="7" width="20.88671875" customWidth="1"/>
    <col min="8" max="8" width="21.44140625" customWidth="1"/>
    <col min="9" max="9" width="18.33203125" customWidth="1"/>
    <col min="10" max="10" width="43.21875" customWidth="1"/>
    <col min="11" max="11" width="24.88671875" bestFit="1" customWidth="1"/>
    <col min="12" max="12" width="18.88671875" customWidth="1"/>
  </cols>
  <sheetData>
    <row r="1" spans="1:11" s="2" customFormat="1" x14ac:dyDescent="0.3">
      <c r="A1" s="111" t="s">
        <v>32</v>
      </c>
      <c r="B1" s="100" t="s">
        <v>33</v>
      </c>
      <c r="C1" s="101" t="s">
        <v>34</v>
      </c>
      <c r="D1" s="102" t="s">
        <v>35</v>
      </c>
      <c r="E1" s="103" t="s">
        <v>36</v>
      </c>
      <c r="F1" s="104" t="s">
        <v>197</v>
      </c>
      <c r="G1" s="105" t="s">
        <v>37</v>
      </c>
      <c r="H1" s="105" t="s">
        <v>38</v>
      </c>
      <c r="I1" s="105" t="s">
        <v>39</v>
      </c>
      <c r="J1" s="105" t="s">
        <v>40</v>
      </c>
    </row>
    <row r="2" spans="1:11" ht="16.2" x14ac:dyDescent="0.3">
      <c r="A2" s="112">
        <v>1</v>
      </c>
      <c r="B2" s="106" t="s">
        <v>41</v>
      </c>
      <c r="C2" s="113" t="s">
        <v>260</v>
      </c>
      <c r="D2" s="113" t="s">
        <v>261</v>
      </c>
      <c r="E2" s="114">
        <v>45807</v>
      </c>
      <c r="F2" s="115" t="str">
        <f ca="1">IF(TODAY()&gt;GSA_Validity[[#This Row],[Clean Due Date]],"Expired","Active")</f>
        <v>Active</v>
      </c>
      <c r="G2" s="115" t="b">
        <f t="shared" ref="G2:G5" ca="1" si="0">IF(E2=TODAY()+30,TRUE,FALSE)</f>
        <v>0</v>
      </c>
      <c r="H2" s="115" t="b">
        <f t="shared" ref="H2:H5" ca="1" si="1">IF(E2=TODAY()+15,TRUE,FALSE)</f>
        <v>0</v>
      </c>
      <c r="I2" s="116" t="b">
        <f ca="1">IF(E2=TODAY()+1,TRUE,FALSE)</f>
        <v>0</v>
      </c>
      <c r="J2" s="107" t="s">
        <v>196</v>
      </c>
      <c r="K2" s="16"/>
    </row>
    <row r="3" spans="1:11" s="121" customFormat="1" ht="16.2" x14ac:dyDescent="0.3">
      <c r="A3" s="112">
        <v>2</v>
      </c>
      <c r="B3" s="106" t="s">
        <v>42</v>
      </c>
      <c r="C3" s="108" t="s">
        <v>262</v>
      </c>
      <c r="D3" s="109" t="s">
        <v>263</v>
      </c>
      <c r="E3" s="114">
        <v>45992</v>
      </c>
      <c r="F3" s="115" t="str">
        <f ca="1">IF(TODAY()&gt;GSA_Validity[[#This Row],[Clean Due Date]],"Expired","Active")</f>
        <v>Active</v>
      </c>
      <c r="G3" s="115" t="b">
        <f t="shared" ca="1" si="0"/>
        <v>0</v>
      </c>
      <c r="H3" s="115" t="b">
        <f t="shared" ca="1" si="1"/>
        <v>0</v>
      </c>
      <c r="I3" s="116" t="b">
        <f t="shared" ref="I3:I5" ca="1" si="2">IF(E3=TODAY()+1,TRUE,FALSE)</f>
        <v>0</v>
      </c>
      <c r="J3" s="107" t="s">
        <v>196</v>
      </c>
      <c r="K3" s="16"/>
    </row>
    <row r="4" spans="1:11" x14ac:dyDescent="0.3">
      <c r="A4" s="112">
        <v>3</v>
      </c>
      <c r="B4" s="106" t="s">
        <v>43</v>
      </c>
      <c r="C4" s="113" t="s">
        <v>259</v>
      </c>
      <c r="D4" s="109" t="s">
        <v>44</v>
      </c>
      <c r="E4" s="114">
        <v>45076</v>
      </c>
      <c r="F4" s="115" t="str">
        <f ca="1">IF(TODAY()&gt;GSA_Validity[[#This Row],[Clean Due Date]],"Expired","Active")</f>
        <v>Expired</v>
      </c>
      <c r="G4" s="115" t="b">
        <f t="shared" ca="1" si="0"/>
        <v>0</v>
      </c>
      <c r="H4" s="115" t="b">
        <f t="shared" ca="1" si="1"/>
        <v>0</v>
      </c>
      <c r="I4" s="116" t="b">
        <f t="shared" ca="1" si="2"/>
        <v>0</v>
      </c>
      <c r="J4" s="107" t="s">
        <v>196</v>
      </c>
      <c r="K4" s="16"/>
    </row>
    <row r="5" spans="1:11" ht="16.2" x14ac:dyDescent="0.3">
      <c r="A5" s="112">
        <v>4</v>
      </c>
      <c r="B5" s="106" t="s">
        <v>46</v>
      </c>
      <c r="C5" s="113" t="s">
        <v>264</v>
      </c>
      <c r="D5" s="113" t="s">
        <v>265</v>
      </c>
      <c r="E5" s="114">
        <v>46023</v>
      </c>
      <c r="F5" s="115" t="str">
        <f ca="1">IF(TODAY()&gt;GSA_Validity[[#This Row],[Clean Due Date]],"Expired","Active")</f>
        <v>Active</v>
      </c>
      <c r="G5" s="115" t="b">
        <f t="shared" ca="1" si="0"/>
        <v>0</v>
      </c>
      <c r="H5" s="115" t="b">
        <f t="shared" ca="1" si="1"/>
        <v>0</v>
      </c>
      <c r="I5" s="116" t="b">
        <f t="shared" ca="1" si="2"/>
        <v>0</v>
      </c>
      <c r="J5" s="107" t="s">
        <v>196</v>
      </c>
      <c r="K5" s="16"/>
    </row>
    <row r="6" spans="1:11" ht="16.2" x14ac:dyDescent="0.3">
      <c r="A6" s="112">
        <v>5</v>
      </c>
      <c r="B6" s="106" t="s">
        <v>194</v>
      </c>
      <c r="C6" s="113" t="s">
        <v>266</v>
      </c>
      <c r="D6" s="113" t="s">
        <v>267</v>
      </c>
      <c r="E6" s="114">
        <v>46569</v>
      </c>
      <c r="F6" s="115" t="str">
        <f ca="1">IF(TODAY()&gt;GSA_Validity[[#This Row],[Clean Due Date]],"Expired","Active")</f>
        <v>Active</v>
      </c>
      <c r="G6" s="115" t="b">
        <f ca="1">IF(E6=TODAY()+30,TRUE,FALSE)</f>
        <v>0</v>
      </c>
      <c r="H6" s="115" t="b">
        <f ca="1">IF(E6=TODAY()+15,TRUE,FALSE)</f>
        <v>0</v>
      </c>
      <c r="I6" s="116" t="b">
        <f ca="1">IF(E6=TODAY()+1,TRUE,FALSE)</f>
        <v>0</v>
      </c>
      <c r="J6" s="107" t="s">
        <v>196</v>
      </c>
      <c r="K6" s="16"/>
    </row>
    <row r="7" spans="1:11" ht="16.2" x14ac:dyDescent="0.3">
      <c r="A7" s="112">
        <v>6</v>
      </c>
      <c r="B7" s="110" t="s">
        <v>258</v>
      </c>
      <c r="C7" s="117" t="s">
        <v>268</v>
      </c>
      <c r="D7" s="117" t="s">
        <v>269</v>
      </c>
      <c r="E7" s="118">
        <v>46447</v>
      </c>
      <c r="F7" s="119" t="str">
        <f ca="1">IF(TODAY()&gt;GSA_Validity[[#This Row],[Clean Due Date]],"Expired","Active")</f>
        <v>Active</v>
      </c>
      <c r="G7" s="119" t="b">
        <f ca="1">IF(E7=TODAY()+30,TRUE,FALSE)</f>
        <v>0</v>
      </c>
      <c r="H7" s="119" t="b">
        <f ca="1">IF(E7=TODAY()+15,TRUE,FALSE)</f>
        <v>0</v>
      </c>
      <c r="I7" s="120" t="b">
        <f ca="1">IF(E7=TODAY()+1,TRUE,FALSE)</f>
        <v>0</v>
      </c>
      <c r="J7" s="107" t="s">
        <v>196</v>
      </c>
      <c r="K7" s="16"/>
    </row>
    <row r="8" spans="1:11" x14ac:dyDescent="0.3">
      <c r="G8" s="16"/>
      <c r="H8" s="16"/>
      <c r="I8" s="16"/>
      <c r="K8" s="16"/>
    </row>
    <row r="9" spans="1:11" x14ac:dyDescent="0.3">
      <c r="G9" s="16"/>
      <c r="H9" s="16"/>
      <c r="I9" s="17"/>
    </row>
    <row r="10" spans="1:11" x14ac:dyDescent="0.3">
      <c r="G10" s="16"/>
      <c r="H10" s="16"/>
      <c r="I10" s="17"/>
    </row>
    <row r="11" spans="1:11" x14ac:dyDescent="0.3">
      <c r="G11" s="16"/>
      <c r="H11" s="16"/>
      <c r="I11" s="17"/>
    </row>
  </sheetData>
  <phoneticPr fontId="16" type="noConversion"/>
  <conditionalFormatting sqref="F1:F1048576">
    <cfRule type="containsText" dxfId="20" priority="1" operator="containsText" text="Expired">
      <formula>NOT(ISERROR(SEARCH("Expired",F1)))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F1C1-61B3-4446-ADA5-17FA74B848D9}">
  <sheetPr>
    <tabColor rgb="FF92D050"/>
  </sheetPr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D289-529C-417D-B357-4CE3FB2094D0}">
  <sheetPr>
    <tabColor rgb="FF92D050"/>
  </sheetPr>
  <dimension ref="A1:M16"/>
  <sheetViews>
    <sheetView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 activeCell="F9" sqref="F9"/>
    </sheetView>
  </sheetViews>
  <sheetFormatPr defaultColWidth="9.109375" defaultRowHeight="14.4" x14ac:dyDescent="0.3"/>
  <cols>
    <col min="1" max="1" width="5" style="15" bestFit="1" customWidth="1"/>
    <col min="2" max="2" width="31.44140625" bestFit="1" customWidth="1"/>
    <col min="3" max="3" width="17.21875" bestFit="1" customWidth="1"/>
    <col min="4" max="4" width="12.6640625" bestFit="1" customWidth="1"/>
    <col min="5" max="5" width="18" style="4" bestFit="1" customWidth="1"/>
    <col min="6" max="6" width="20" style="4" bestFit="1" customWidth="1"/>
    <col min="7" max="7" width="21.109375" bestFit="1" customWidth="1"/>
    <col min="8" max="8" width="9.33203125" bestFit="1" customWidth="1"/>
    <col min="9" max="9" width="10.44140625" bestFit="1" customWidth="1"/>
    <col min="10" max="10" width="10" bestFit="1" customWidth="1"/>
    <col min="11" max="11" width="9.88671875" customWidth="1"/>
    <col min="12" max="12" width="21.33203125" bestFit="1" customWidth="1"/>
    <col min="13" max="13" width="23.21875" bestFit="1" customWidth="1"/>
    <col min="14" max="14" width="4.44140625" bestFit="1" customWidth="1"/>
  </cols>
  <sheetData>
    <row r="1" spans="1:13" s="2" customFormat="1" x14ac:dyDescent="0.3">
      <c r="A1" s="14" t="s">
        <v>0</v>
      </c>
      <c r="B1" s="2" t="s">
        <v>124</v>
      </c>
      <c r="C1" s="2" t="s">
        <v>125</v>
      </c>
      <c r="D1" s="2" t="s">
        <v>30</v>
      </c>
      <c r="E1" s="2" t="s">
        <v>211</v>
      </c>
      <c r="F1" s="13" t="s">
        <v>126</v>
      </c>
      <c r="G1" s="13" t="s">
        <v>127</v>
      </c>
      <c r="H1" s="2" t="s">
        <v>128</v>
      </c>
      <c r="I1" s="2" t="s">
        <v>52</v>
      </c>
      <c r="J1" s="2" t="s">
        <v>243</v>
      </c>
      <c r="K1" s="2" t="s">
        <v>130</v>
      </c>
      <c r="L1" s="2" t="s">
        <v>40</v>
      </c>
      <c r="M1" s="2" t="s">
        <v>3</v>
      </c>
    </row>
    <row r="2" spans="1:13" x14ac:dyDescent="0.3">
      <c r="A2" s="94">
        <v>1</v>
      </c>
      <c r="B2" s="95" t="s">
        <v>212</v>
      </c>
      <c r="C2" s="95" t="s">
        <v>213</v>
      </c>
      <c r="D2" s="95" t="s">
        <v>214</v>
      </c>
      <c r="E2" s="94" t="s">
        <v>215</v>
      </c>
      <c r="F2" s="94" t="s">
        <v>216</v>
      </c>
      <c r="G2" s="99">
        <v>4000000</v>
      </c>
      <c r="H2" s="95"/>
      <c r="I2" s="96">
        <v>45849</v>
      </c>
      <c r="J2" s="95" t="s">
        <v>245</v>
      </c>
      <c r="K2" s="95" t="str">
        <f ca="1">IF(TODAY()&gt;I2,"Expired","Active")</f>
        <v>Active</v>
      </c>
      <c r="L2" s="95" t="s">
        <v>196</v>
      </c>
      <c r="M2" s="19" t="s">
        <v>257</v>
      </c>
    </row>
    <row r="3" spans="1:13" x14ac:dyDescent="0.3">
      <c r="A3" s="94">
        <v>2</v>
      </c>
      <c r="B3" s="95" t="s">
        <v>217</v>
      </c>
      <c r="C3" s="95" t="s">
        <v>213</v>
      </c>
      <c r="D3" s="95" t="s">
        <v>214</v>
      </c>
      <c r="E3" s="94" t="s">
        <v>218</v>
      </c>
      <c r="F3" s="94" t="s">
        <v>219</v>
      </c>
      <c r="G3" s="99">
        <v>2000000</v>
      </c>
      <c r="H3" s="95"/>
      <c r="I3" s="96">
        <v>45692</v>
      </c>
      <c r="J3" s="95" t="s">
        <v>245</v>
      </c>
      <c r="K3" s="95" t="str">
        <f t="shared" ref="K3:K16" ca="1" si="0">IF(TODAY()&gt;I3,"Expired","Active")</f>
        <v>Active</v>
      </c>
      <c r="L3" s="95" t="s">
        <v>196</v>
      </c>
      <c r="M3" s="19" t="s">
        <v>247</v>
      </c>
    </row>
    <row r="4" spans="1:13" x14ac:dyDescent="0.3">
      <c r="A4" s="94">
        <v>3</v>
      </c>
      <c r="B4" s="95" t="s">
        <v>220</v>
      </c>
      <c r="C4" s="95" t="s">
        <v>213</v>
      </c>
      <c r="D4" s="95" t="s">
        <v>214</v>
      </c>
      <c r="E4" s="94" t="s">
        <v>221</v>
      </c>
      <c r="F4" s="94" t="s">
        <v>222</v>
      </c>
      <c r="G4" s="99">
        <v>3000000</v>
      </c>
      <c r="H4" s="95"/>
      <c r="I4" s="96">
        <v>45834</v>
      </c>
      <c r="J4" s="95" t="s">
        <v>245</v>
      </c>
      <c r="K4" s="95" t="str">
        <f t="shared" ca="1" si="0"/>
        <v>Active</v>
      </c>
      <c r="L4" s="95" t="s">
        <v>196</v>
      </c>
      <c r="M4" s="19" t="s">
        <v>248</v>
      </c>
    </row>
    <row r="5" spans="1:13" x14ac:dyDescent="0.3">
      <c r="A5" s="94">
        <v>4</v>
      </c>
      <c r="B5" s="95" t="s">
        <v>223</v>
      </c>
      <c r="C5" s="95" t="s">
        <v>213</v>
      </c>
      <c r="D5" s="95" t="s">
        <v>214</v>
      </c>
      <c r="E5" s="94" t="s">
        <v>224</v>
      </c>
      <c r="F5" s="94" t="s">
        <v>216</v>
      </c>
      <c r="G5" s="99">
        <v>1000000</v>
      </c>
      <c r="H5" s="95"/>
      <c r="I5" s="96">
        <v>45783</v>
      </c>
      <c r="J5" s="95" t="s">
        <v>245</v>
      </c>
      <c r="K5" s="95" t="str">
        <f t="shared" ca="1" si="0"/>
        <v>Active</v>
      </c>
      <c r="L5" s="95" t="s">
        <v>196</v>
      </c>
      <c r="M5" s="19" t="s">
        <v>256</v>
      </c>
    </row>
    <row r="6" spans="1:13" x14ac:dyDescent="0.3">
      <c r="A6" s="94">
        <v>5</v>
      </c>
      <c r="B6" s="95" t="s">
        <v>225</v>
      </c>
      <c r="C6" s="95" t="s">
        <v>213</v>
      </c>
      <c r="D6" s="95" t="s">
        <v>214</v>
      </c>
      <c r="E6" s="94" t="s">
        <v>226</v>
      </c>
      <c r="F6" s="94" t="s">
        <v>227</v>
      </c>
      <c r="G6" s="99">
        <v>2500000</v>
      </c>
      <c r="H6" s="95"/>
      <c r="I6" s="96">
        <v>45632</v>
      </c>
      <c r="J6" s="95" t="s">
        <v>245</v>
      </c>
      <c r="K6" s="95" t="str">
        <f t="shared" ca="1" si="0"/>
        <v>Active</v>
      </c>
      <c r="L6" s="95" t="s">
        <v>196</v>
      </c>
      <c r="M6" s="19" t="s">
        <v>249</v>
      </c>
    </row>
    <row r="7" spans="1:13" x14ac:dyDescent="0.3">
      <c r="A7" s="94">
        <v>6</v>
      </c>
      <c r="B7" s="95" t="s">
        <v>225</v>
      </c>
      <c r="C7" s="95" t="s">
        <v>213</v>
      </c>
      <c r="D7" s="95" t="s">
        <v>214</v>
      </c>
      <c r="E7" s="94" t="s">
        <v>228</v>
      </c>
      <c r="F7" s="94" t="s">
        <v>227</v>
      </c>
      <c r="G7" s="99">
        <v>2500000</v>
      </c>
      <c r="H7" s="95"/>
      <c r="I7" s="96">
        <v>45632</v>
      </c>
      <c r="J7" s="95" t="s">
        <v>245</v>
      </c>
      <c r="K7" s="95" t="str">
        <f t="shared" ca="1" si="0"/>
        <v>Active</v>
      </c>
      <c r="L7" s="95" t="s">
        <v>196</v>
      </c>
      <c r="M7" s="19" t="s">
        <v>249</v>
      </c>
    </row>
    <row r="8" spans="1:13" x14ac:dyDescent="0.3">
      <c r="A8" s="94">
        <v>7</v>
      </c>
      <c r="B8" s="95" t="s">
        <v>138</v>
      </c>
      <c r="C8" s="95" t="s">
        <v>213</v>
      </c>
      <c r="D8" s="95" t="s">
        <v>214</v>
      </c>
      <c r="E8" s="94" t="s">
        <v>229</v>
      </c>
      <c r="F8" s="94" t="s">
        <v>222</v>
      </c>
      <c r="G8" s="99">
        <v>1500000</v>
      </c>
      <c r="H8" s="95"/>
      <c r="I8" s="96">
        <v>45657</v>
      </c>
      <c r="J8" s="95" t="s">
        <v>245</v>
      </c>
      <c r="K8" s="95" t="str">
        <f t="shared" ca="1" si="0"/>
        <v>Active</v>
      </c>
      <c r="L8" s="95" t="s">
        <v>196</v>
      </c>
      <c r="M8" s="19" t="s">
        <v>256</v>
      </c>
    </row>
    <row r="9" spans="1:13" x14ac:dyDescent="0.3">
      <c r="A9" s="94">
        <v>8</v>
      </c>
      <c r="B9" s="95" t="s">
        <v>230</v>
      </c>
      <c r="C9" s="95" t="s">
        <v>213</v>
      </c>
      <c r="D9" s="95" t="s">
        <v>214</v>
      </c>
      <c r="E9" s="94" t="s">
        <v>231</v>
      </c>
      <c r="F9" s="94" t="s">
        <v>216</v>
      </c>
      <c r="G9" s="99">
        <v>1000000</v>
      </c>
      <c r="H9" s="95"/>
      <c r="I9" s="96">
        <v>45686</v>
      </c>
      <c r="J9" s="95" t="s">
        <v>245</v>
      </c>
      <c r="K9" s="95" t="str">
        <f t="shared" ca="1" si="0"/>
        <v>Active</v>
      </c>
      <c r="L9" s="95" t="s">
        <v>196</v>
      </c>
      <c r="M9" s="19" t="s">
        <v>246</v>
      </c>
    </row>
    <row r="10" spans="1:13" x14ac:dyDescent="0.3">
      <c r="A10" s="94">
        <v>9</v>
      </c>
      <c r="B10" s="95" t="s">
        <v>232</v>
      </c>
      <c r="C10" s="95" t="s">
        <v>213</v>
      </c>
      <c r="D10" s="95" t="s">
        <v>214</v>
      </c>
      <c r="E10" s="94" t="s">
        <v>233</v>
      </c>
      <c r="F10" s="94" t="s">
        <v>222</v>
      </c>
      <c r="G10" s="99">
        <v>1500000</v>
      </c>
      <c r="H10" s="95"/>
      <c r="I10" s="96">
        <v>45908</v>
      </c>
      <c r="J10" s="95" t="s">
        <v>245</v>
      </c>
      <c r="K10" s="95" t="str">
        <f t="shared" ca="1" si="0"/>
        <v>Active</v>
      </c>
      <c r="L10" s="95" t="s">
        <v>196</v>
      </c>
      <c r="M10" s="19" t="s">
        <v>255</v>
      </c>
    </row>
    <row r="11" spans="1:13" x14ac:dyDescent="0.3">
      <c r="A11" s="94">
        <v>10</v>
      </c>
      <c r="B11" s="95" t="s">
        <v>234</v>
      </c>
      <c r="C11" s="95" t="s">
        <v>213</v>
      </c>
      <c r="D11" s="95" t="s">
        <v>214</v>
      </c>
      <c r="E11" s="94" t="s">
        <v>235</v>
      </c>
      <c r="F11" s="94" t="s">
        <v>216</v>
      </c>
      <c r="G11" s="99">
        <v>2000000</v>
      </c>
      <c r="H11" s="95"/>
      <c r="I11" s="96">
        <v>45779</v>
      </c>
      <c r="J11" s="95" t="s">
        <v>245</v>
      </c>
      <c r="K11" s="95" t="str">
        <f t="shared" ca="1" si="0"/>
        <v>Active</v>
      </c>
      <c r="L11" s="95" t="s">
        <v>196</v>
      </c>
      <c r="M11" s="19" t="s">
        <v>250</v>
      </c>
    </row>
    <row r="12" spans="1:13" x14ac:dyDescent="0.3">
      <c r="A12" s="94">
        <v>11</v>
      </c>
      <c r="B12" s="95" t="s">
        <v>236</v>
      </c>
      <c r="C12" s="95" t="s">
        <v>213</v>
      </c>
      <c r="D12" s="95" t="s">
        <v>214</v>
      </c>
      <c r="E12" s="94">
        <v>3026268701</v>
      </c>
      <c r="F12" s="94" t="s">
        <v>237</v>
      </c>
      <c r="G12" s="99">
        <v>10000000</v>
      </c>
      <c r="H12" s="95"/>
      <c r="I12" s="96">
        <v>45655</v>
      </c>
      <c r="J12" s="95" t="s">
        <v>244</v>
      </c>
      <c r="K12" s="95" t="str">
        <f t="shared" ca="1" si="0"/>
        <v>Active</v>
      </c>
      <c r="L12" s="95" t="s">
        <v>196</v>
      </c>
    </row>
    <row r="13" spans="1:13" x14ac:dyDescent="0.3">
      <c r="A13" s="94">
        <v>12</v>
      </c>
      <c r="B13" s="95" t="s">
        <v>236</v>
      </c>
      <c r="C13" s="95" t="s">
        <v>213</v>
      </c>
      <c r="D13" s="95" t="s">
        <v>214</v>
      </c>
      <c r="E13" s="94">
        <v>3026268704</v>
      </c>
      <c r="F13" s="94" t="s">
        <v>237</v>
      </c>
      <c r="G13" s="99">
        <v>10000000</v>
      </c>
      <c r="H13" s="95"/>
      <c r="I13" s="96">
        <v>45657</v>
      </c>
      <c r="J13" s="95" t="s">
        <v>244</v>
      </c>
      <c r="K13" s="95" t="str">
        <f t="shared" ca="1" si="0"/>
        <v>Active</v>
      </c>
      <c r="L13" s="95" t="s">
        <v>196</v>
      </c>
    </row>
    <row r="14" spans="1:13" x14ac:dyDescent="0.3">
      <c r="A14" s="94">
        <v>13</v>
      </c>
      <c r="B14" s="95" t="s">
        <v>236</v>
      </c>
      <c r="C14" s="95" t="s">
        <v>213</v>
      </c>
      <c r="D14" s="95" t="s">
        <v>214</v>
      </c>
      <c r="E14" s="94">
        <v>3026268703</v>
      </c>
      <c r="F14" s="94" t="s">
        <v>237</v>
      </c>
      <c r="G14" s="99">
        <v>10000000</v>
      </c>
      <c r="H14" s="95"/>
      <c r="I14" s="96">
        <v>45656</v>
      </c>
      <c r="J14" s="95" t="s">
        <v>244</v>
      </c>
      <c r="K14" s="95" t="str">
        <f t="shared" ca="1" si="0"/>
        <v>Active</v>
      </c>
      <c r="L14" s="95" t="s">
        <v>196</v>
      </c>
    </row>
    <row r="15" spans="1:13" x14ac:dyDescent="0.3">
      <c r="A15" s="94">
        <v>14</v>
      </c>
      <c r="B15" s="95" t="s">
        <v>238</v>
      </c>
      <c r="C15" s="95" t="s">
        <v>213</v>
      </c>
      <c r="D15" s="95" t="s">
        <v>214</v>
      </c>
      <c r="E15" s="94">
        <v>39022721</v>
      </c>
      <c r="F15" s="94" t="s">
        <v>239</v>
      </c>
      <c r="G15" s="99">
        <v>10000000</v>
      </c>
      <c r="H15" s="95"/>
      <c r="I15" s="96" t="s">
        <v>240</v>
      </c>
      <c r="J15" s="95" t="s">
        <v>244</v>
      </c>
      <c r="K15" s="95" t="str">
        <f t="shared" ca="1" si="0"/>
        <v>Active</v>
      </c>
      <c r="L15" s="95" t="s">
        <v>196</v>
      </c>
    </row>
    <row r="16" spans="1:13" x14ac:dyDescent="0.3">
      <c r="A16" s="94">
        <v>15</v>
      </c>
      <c r="B16" s="95" t="s">
        <v>241</v>
      </c>
      <c r="C16" s="95" t="s">
        <v>213</v>
      </c>
      <c r="D16" s="95" t="s">
        <v>214</v>
      </c>
      <c r="E16" s="94">
        <v>70663074</v>
      </c>
      <c r="F16" s="94" t="s">
        <v>242</v>
      </c>
      <c r="G16" s="99">
        <v>5000000</v>
      </c>
      <c r="H16" s="95"/>
      <c r="I16" s="96">
        <v>46021</v>
      </c>
      <c r="J16" s="95" t="s">
        <v>244</v>
      </c>
      <c r="K16" s="95" t="str">
        <f t="shared" ca="1" si="0"/>
        <v>Active</v>
      </c>
      <c r="L16" s="95" t="s">
        <v>196</v>
      </c>
    </row>
  </sheetData>
  <conditionalFormatting sqref="I2:I16">
    <cfRule type="cellIs" dxfId="19" priority="2" operator="lessThanOrEqual">
      <formula>TODAY()</formula>
    </cfRule>
    <cfRule type="cellIs" dxfId="18" priority="3" operator="lessThanOrEqual">
      <formula>TODAY()+15</formula>
    </cfRule>
  </conditionalFormatting>
  <conditionalFormatting sqref="K1:K1048576">
    <cfRule type="containsText" dxfId="17" priority="1" operator="containsText" text="Expired">
      <formula>NOT(ISERROR(SEARCH("Expired",K1)))</formula>
    </cfRule>
  </conditionalFormatting>
  <hyperlinks>
    <hyperlink ref="M9" r:id="rId1" display="https://rrgroupnew.sharepoint.com/:b:/s/SocietyFinanceGroup/ESPq6HY4L_9NpFY52sthP_wBqXAz7JHbEl1LrffDs6ymIA?e=yukwtd" xr:uid="{430928B0-9210-4A61-93DD-3A8C10166469}"/>
    <hyperlink ref="M3" r:id="rId2" display="https://rrgroupnew.sharepoint.com/:b:/s/SocietyFinanceGroup/EZPdZVEhfbNMq7LupRX4YxgB1WiKhMzy4tBmNLj2OhQMxw?e=fruflq" xr:uid="{BB0ED76C-BA5A-465D-8AAE-AECFF86DD413}"/>
    <hyperlink ref="M4" r:id="rId3" display="https://rrgroupnew.sharepoint.com/:b:/s/SocietyFinanceGroup/EROh6_EYUY1PqY0sUammvGQBjy8Sfc4AVjuZkLVGjTZekg?e=BtURNN" xr:uid="{277B7F4C-5D11-4D71-AD3F-847E55FABA3B}"/>
    <hyperlink ref="M6" r:id="rId4" display="https://rrgroupnew.sharepoint.com/:b:/s/SocietyFinanceGroup/ERstmJW2Gg5DvucBTy-qAOUBdE_RvU4uGe64YtB8f71vng?e=ZWTLR2" xr:uid="{DFB1D26C-4585-4AC7-B3DA-C574DFF66214}"/>
    <hyperlink ref="M11" r:id="rId5" display="https://rrgroupnew.sharepoint.com/:b:/s/SocietyFinanceGroup/EbtquPcbfERCtmDZIxVBJmUBm188tzLoMLHPOigUtKJkcA?e=6yjeH4" xr:uid="{52D1F4BC-AB3B-4558-A2E2-170C6174251B}"/>
    <hyperlink ref="M7" r:id="rId6" display="https://rrgroupnew.sharepoint.com/:b:/s/SocietyFinanceGroup/ERstmJW2Gg5DvucBTy-qAOUBdE_RvU4uGe64YtB8f71vng?e=ZWTLR2" xr:uid="{528E6973-0764-4240-B111-B05FE55B606B}"/>
    <hyperlink ref="M10" r:id="rId7" display="https://rrgroupnew.sharepoint.com/:b:/s/SocietyFinanceGroup/EedGIn6qs4FFiWSm1-1OBMUBp0nJ46LdWO9sF1R8hFiHJA?e=AwHvSE" xr:uid="{46EC1F1A-9E88-4302-9C7F-334A095FD31A}"/>
    <hyperlink ref="M8" r:id="rId8" display="https://rrgroupnew.sharepoint.com/:b:/s/SocietyFinanceGroup/EVqkFo5p4IxGjV3qGNlGuhsB7iPzPNLo5DzBOoVK7xbM8w?e=ljy11W" xr:uid="{B1E2F60E-D6B8-438D-B724-07AE9FC57D8B}"/>
    <hyperlink ref="M5" r:id="rId9" display="https://rrgroupnew.sharepoint.com/:b:/s/SocietyFinanceGroup/EVqkFo5p4IxGjV3qGNlGuhsB7iPzPNLo5DzBOoVK7xbM8w?e=ljy11W" xr:uid="{6057FE56-FE70-45AE-9F71-1F31C2854398}"/>
    <hyperlink ref="M2" r:id="rId10" display="https://rrgroupnew.sharepoint.com/:b:/s/SocietyFinanceGroup/EZ1Ts8WYMF5Gi7gz9SuJoW4BkUikqa8iZtpcYMGp0A_kbg?e=RRkO1N" xr:uid="{59303349-3ED7-4B2A-B58F-492FD6F14FA7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E2EC-2A4E-4306-9216-01BF60D910F1}">
  <sheetPr>
    <tabColor rgb="FF92D050"/>
  </sheetPr>
  <dimension ref="A1:Q15"/>
  <sheetViews>
    <sheetView workbookViewId="0">
      <pane xSplit="4" ySplit="1" topLeftCell="E2" activePane="bottomRight" state="frozen"/>
      <selection activeCell="F1" sqref="F1:F1048576"/>
      <selection pane="topRight" activeCell="F1" sqref="F1:F1048576"/>
      <selection pane="bottomLeft" activeCell="F1" sqref="F1:F1048576"/>
      <selection pane="bottomRight" activeCell="E4" sqref="E4"/>
    </sheetView>
  </sheetViews>
  <sheetFormatPr defaultColWidth="9.109375" defaultRowHeight="14.4" x14ac:dyDescent="0.3"/>
  <cols>
    <col min="1" max="1" width="7.5546875" style="15" bestFit="1" customWidth="1"/>
    <col min="2" max="2" width="21" bestFit="1" customWidth="1"/>
    <col min="3" max="3" width="16.5546875" bestFit="1" customWidth="1"/>
    <col min="4" max="4" width="32.109375" bestFit="1" customWidth="1"/>
    <col min="5" max="5" width="15.109375" bestFit="1" customWidth="1"/>
    <col min="6" max="6" width="22.21875" style="4" bestFit="1" customWidth="1"/>
    <col min="7" max="7" width="23.33203125" style="4" bestFit="1" customWidth="1"/>
    <col min="8" max="8" width="13.6640625" bestFit="1" customWidth="1"/>
    <col min="9" max="9" width="12.44140625" bestFit="1" customWidth="1"/>
    <col min="10" max="10" width="13.5546875" bestFit="1" customWidth="1"/>
    <col min="11" max="11" width="13.109375" bestFit="1" customWidth="1"/>
    <col min="12" max="12" width="19.88671875" bestFit="1" customWidth="1"/>
    <col min="13" max="13" width="27.109375" bestFit="1" customWidth="1"/>
    <col min="14" max="14" width="21.33203125" bestFit="1" customWidth="1"/>
    <col min="15" max="15" width="27.109375" customWidth="1"/>
    <col min="16" max="16" width="18.109375" customWidth="1"/>
    <col min="17" max="17" width="42.6640625" customWidth="1"/>
  </cols>
  <sheetData>
    <row r="1" spans="1:17" s="2" customFormat="1" x14ac:dyDescent="0.3">
      <c r="A1" s="14" t="s">
        <v>0</v>
      </c>
      <c r="B1" s="2" t="s">
        <v>125</v>
      </c>
      <c r="C1" s="2" t="s">
        <v>124</v>
      </c>
      <c r="D1" s="2" t="s">
        <v>30</v>
      </c>
      <c r="E1" s="58" t="s">
        <v>195</v>
      </c>
      <c r="F1" s="58" t="s">
        <v>253</v>
      </c>
      <c r="G1" s="13" t="s">
        <v>126</v>
      </c>
      <c r="H1" s="13" t="s">
        <v>127</v>
      </c>
      <c r="I1" s="2" t="s">
        <v>128</v>
      </c>
      <c r="J1" s="2" t="s">
        <v>52</v>
      </c>
      <c r="K1" s="2" t="s">
        <v>129</v>
      </c>
      <c r="L1" s="2" t="s">
        <v>130</v>
      </c>
      <c r="M1" s="2" t="s">
        <v>40</v>
      </c>
      <c r="N1" s="2" t="s">
        <v>3</v>
      </c>
    </row>
    <row r="2" spans="1:17" x14ac:dyDescent="0.3">
      <c r="A2" s="15">
        <v>1</v>
      </c>
      <c r="B2" t="s">
        <v>208</v>
      </c>
      <c r="C2" t="s">
        <v>131</v>
      </c>
      <c r="D2" t="s">
        <v>132</v>
      </c>
      <c r="E2" t="s">
        <v>136</v>
      </c>
      <c r="F2"/>
      <c r="H2" s="4">
        <v>3000000</v>
      </c>
      <c r="I2" s="16">
        <v>45355</v>
      </c>
      <c r="J2" s="16">
        <v>45720</v>
      </c>
      <c r="K2" s="16">
        <v>45386</v>
      </c>
      <c r="L2" s="16" t="str">
        <f ca="1">IF(TODAY()&gt;BG_Report[[#This Row],[Claim Date]],"Expired","Active")</f>
        <v>Expired</v>
      </c>
      <c r="M2" s="71" t="s">
        <v>196</v>
      </c>
      <c r="N2" s="70"/>
    </row>
    <row r="3" spans="1:17" x14ac:dyDescent="0.3">
      <c r="A3" s="15">
        <v>2</v>
      </c>
      <c r="B3" t="s">
        <v>209</v>
      </c>
      <c r="C3" t="s">
        <v>45</v>
      </c>
      <c r="D3" t="s">
        <v>137</v>
      </c>
      <c r="E3" t="s">
        <v>136</v>
      </c>
      <c r="F3"/>
      <c r="G3" s="4">
        <v>45984</v>
      </c>
      <c r="H3" s="4">
        <v>6161856</v>
      </c>
      <c r="I3" s="16">
        <v>44735</v>
      </c>
      <c r="J3" s="16">
        <v>45099</v>
      </c>
      <c r="K3" s="16">
        <v>45129</v>
      </c>
      <c r="L3" s="16" t="str">
        <f ca="1">IF(TODAY()&gt;BG_Report[[#This Row],[Claim Date]],"Expired","Active")</f>
        <v>Expired</v>
      </c>
      <c r="M3" s="71" t="s">
        <v>196</v>
      </c>
      <c r="N3" s="70"/>
    </row>
    <row r="4" spans="1:17" x14ac:dyDescent="0.3">
      <c r="A4" s="15">
        <v>3</v>
      </c>
      <c r="B4" t="s">
        <v>210</v>
      </c>
      <c r="C4" t="s">
        <v>131</v>
      </c>
      <c r="D4" t="s">
        <v>252</v>
      </c>
      <c r="E4" t="s">
        <v>136</v>
      </c>
      <c r="F4"/>
      <c r="H4" s="4">
        <v>50000</v>
      </c>
      <c r="I4" s="16">
        <v>44979</v>
      </c>
      <c r="J4" s="16">
        <v>45395</v>
      </c>
      <c r="K4" s="16">
        <v>45395</v>
      </c>
      <c r="L4" s="16" t="str">
        <f ca="1">IF(TODAY()&gt;BG_Report[[#This Row],[Claim Date]],"Expired","Active")</f>
        <v>Expired</v>
      </c>
      <c r="M4" s="71" t="s">
        <v>196</v>
      </c>
      <c r="N4" s="70"/>
    </row>
    <row r="5" spans="1:17" x14ac:dyDescent="0.3">
      <c r="A5" s="15">
        <v>4</v>
      </c>
      <c r="B5" t="s">
        <v>121</v>
      </c>
      <c r="C5" t="s">
        <v>131</v>
      </c>
      <c r="D5" t="s">
        <v>135</v>
      </c>
      <c r="E5" t="s">
        <v>136</v>
      </c>
      <c r="F5"/>
      <c r="H5" s="4">
        <v>3000000</v>
      </c>
      <c r="I5" s="16">
        <v>44865</v>
      </c>
      <c r="J5" s="16">
        <v>45230</v>
      </c>
      <c r="K5" s="16">
        <v>45230</v>
      </c>
      <c r="L5" s="16" t="str">
        <f ca="1">IF(TODAY()&gt;BG_Report[[#This Row],[Claim Date]],"Expired","Active")</f>
        <v>Expired</v>
      </c>
      <c r="M5" s="71" t="s">
        <v>196</v>
      </c>
      <c r="N5" s="70"/>
    </row>
    <row r="6" spans="1:17" x14ac:dyDescent="0.3">
      <c r="A6" s="15">
        <v>5</v>
      </c>
      <c r="B6" t="s">
        <v>56</v>
      </c>
      <c r="C6" t="s">
        <v>131</v>
      </c>
      <c r="D6" t="s">
        <v>132</v>
      </c>
      <c r="E6" t="s">
        <v>133</v>
      </c>
      <c r="F6" t="s">
        <v>205</v>
      </c>
      <c r="G6" s="4">
        <v>80000</v>
      </c>
      <c r="H6" s="4">
        <f>G6*130</f>
        <v>10400000</v>
      </c>
      <c r="I6" s="16">
        <v>45572</v>
      </c>
      <c r="J6" s="16">
        <v>46022</v>
      </c>
      <c r="K6" s="16">
        <v>46053</v>
      </c>
      <c r="L6" s="16" t="str">
        <f ca="1">IF(TODAY()&gt;BG_Report[[#This Row],[Claim Date]],"Expired","Active")</f>
        <v>Active</v>
      </c>
      <c r="M6" s="71" t="s">
        <v>196</v>
      </c>
      <c r="N6" s="70"/>
    </row>
    <row r="7" spans="1:17" x14ac:dyDescent="0.3">
      <c r="A7" s="15">
        <v>6</v>
      </c>
      <c r="B7" t="s">
        <v>165</v>
      </c>
      <c r="C7" t="s">
        <v>131</v>
      </c>
      <c r="D7" t="s">
        <v>132</v>
      </c>
      <c r="E7" t="s">
        <v>133</v>
      </c>
      <c r="F7" t="s">
        <v>199</v>
      </c>
      <c r="G7" s="4">
        <v>350000</v>
      </c>
      <c r="H7" s="4">
        <v>15120000</v>
      </c>
      <c r="I7" s="16">
        <v>44624</v>
      </c>
      <c r="J7" s="16">
        <v>45720</v>
      </c>
      <c r="K7" s="16">
        <v>45751</v>
      </c>
      <c r="L7" s="16" t="str">
        <f ca="1">IF(TODAY()&gt;BG_Report[[#This Row],[Claim Date]],"Expired","Active")</f>
        <v>Active</v>
      </c>
      <c r="M7" s="71" t="s">
        <v>196</v>
      </c>
      <c r="N7" s="70"/>
    </row>
    <row r="8" spans="1:17" x14ac:dyDescent="0.3">
      <c r="A8" s="15">
        <v>7</v>
      </c>
      <c r="B8" t="s">
        <v>165</v>
      </c>
      <c r="C8" t="s">
        <v>131</v>
      </c>
      <c r="D8" t="s">
        <v>132</v>
      </c>
      <c r="E8" t="s">
        <v>133</v>
      </c>
      <c r="F8" t="s">
        <v>200</v>
      </c>
      <c r="G8" s="4">
        <v>500000</v>
      </c>
      <c r="H8" s="4">
        <v>1750000</v>
      </c>
      <c r="I8" s="16">
        <v>45062</v>
      </c>
      <c r="J8" s="16">
        <v>45943</v>
      </c>
      <c r="K8" s="16">
        <v>45973</v>
      </c>
      <c r="L8" s="16" t="str">
        <f ca="1">IF(TODAY()&gt;BG_Report[[#This Row],[Claim Date]],"Expired","Active")</f>
        <v>Active</v>
      </c>
      <c r="M8" s="71" t="s">
        <v>196</v>
      </c>
      <c r="N8" s="70"/>
    </row>
    <row r="9" spans="1:17" x14ac:dyDescent="0.3">
      <c r="A9" s="15">
        <v>8</v>
      </c>
      <c r="B9" t="s">
        <v>165</v>
      </c>
      <c r="C9" t="s">
        <v>131</v>
      </c>
      <c r="D9" t="s">
        <v>132</v>
      </c>
      <c r="E9" t="s">
        <v>133</v>
      </c>
      <c r="F9" t="s">
        <v>200</v>
      </c>
      <c r="G9" s="4">
        <v>500000</v>
      </c>
      <c r="H9" s="4">
        <v>50000</v>
      </c>
      <c r="I9" s="16">
        <v>45062</v>
      </c>
      <c r="J9" s="16">
        <v>45578</v>
      </c>
      <c r="K9" s="16">
        <v>45608</v>
      </c>
      <c r="L9" s="16" t="str">
        <f ca="1">IF(TODAY()&gt;BG_Report[[#This Row],[Claim Date]],"Expired","Active")</f>
        <v>Active</v>
      </c>
      <c r="M9" s="71" t="s">
        <v>196</v>
      </c>
      <c r="N9" s="70"/>
    </row>
    <row r="10" spans="1:17" x14ac:dyDescent="0.3">
      <c r="A10" s="15">
        <v>9</v>
      </c>
      <c r="B10" t="s">
        <v>201</v>
      </c>
      <c r="C10" t="s">
        <v>131</v>
      </c>
      <c r="D10" t="s">
        <v>132</v>
      </c>
      <c r="E10" t="s">
        <v>133</v>
      </c>
      <c r="F10" t="s">
        <v>202</v>
      </c>
      <c r="G10" s="4">
        <v>1500000</v>
      </c>
      <c r="H10" s="4">
        <v>5342000</v>
      </c>
      <c r="I10" s="16">
        <v>45166</v>
      </c>
      <c r="J10" s="16">
        <v>45531</v>
      </c>
      <c r="K10" s="16">
        <v>45712</v>
      </c>
      <c r="L10" s="16" t="str">
        <f ca="1">IF(TODAY()&gt;BG_Report[[#This Row],[Claim Date]],"Expired","Active")</f>
        <v>Active</v>
      </c>
      <c r="M10" s="71" t="s">
        <v>196</v>
      </c>
      <c r="N10" s="70"/>
    </row>
    <row r="11" spans="1:17" x14ac:dyDescent="0.3">
      <c r="A11" s="15">
        <v>10</v>
      </c>
      <c r="B11" t="s">
        <v>203</v>
      </c>
      <c r="C11" t="s">
        <v>131</v>
      </c>
      <c r="D11" t="s">
        <v>251</v>
      </c>
      <c r="E11" t="s">
        <v>133</v>
      </c>
      <c r="F11" t="s">
        <v>204</v>
      </c>
      <c r="H11" s="4">
        <f>500000*131.5</f>
        <v>65750000</v>
      </c>
      <c r="I11" s="16">
        <v>45515</v>
      </c>
      <c r="J11" s="16">
        <v>45667</v>
      </c>
      <c r="K11" s="16">
        <v>45667</v>
      </c>
      <c r="L11" s="16" t="str">
        <f ca="1">IF(TODAY()&gt;BG_Report[[#This Row],[Claim Date]],"Expired","Active")</f>
        <v>Active</v>
      </c>
      <c r="M11" s="71" t="s">
        <v>196</v>
      </c>
      <c r="N11" s="70"/>
    </row>
    <row r="12" spans="1:17" x14ac:dyDescent="0.3">
      <c r="A12" s="15">
        <v>11</v>
      </c>
      <c r="B12" t="s">
        <v>201</v>
      </c>
      <c r="C12" t="s">
        <v>131</v>
      </c>
      <c r="D12" t="s">
        <v>132</v>
      </c>
      <c r="E12" t="s">
        <v>133</v>
      </c>
      <c r="F12" t="s">
        <v>206</v>
      </c>
      <c r="G12" s="4">
        <v>400000</v>
      </c>
      <c r="H12" s="4">
        <v>24393000</v>
      </c>
      <c r="I12" s="16">
        <v>45574</v>
      </c>
      <c r="J12" s="16">
        <v>45746</v>
      </c>
      <c r="K12" s="16">
        <v>45930</v>
      </c>
      <c r="L12" s="16" t="str">
        <f ca="1">IF(TODAY()&gt;BG_Report[[#This Row],[Claim Date]],"Expired","Active")</f>
        <v>Active</v>
      </c>
      <c r="M12" s="71" t="s">
        <v>196</v>
      </c>
      <c r="N12" s="70"/>
    </row>
    <row r="14" spans="1:17" x14ac:dyDescent="0.3">
      <c r="D14" s="97"/>
    </row>
    <row r="15" spans="1:17" s="20" customFormat="1" x14ac:dyDescent="0.3">
      <c r="A15" s="15"/>
      <c r="B15"/>
      <c r="C15"/>
      <c r="D15"/>
      <c r="E15"/>
      <c r="F15" s="16"/>
      <c r="G15" s="4"/>
      <c r="H15"/>
      <c r="I15"/>
      <c r="J15"/>
      <c r="K15"/>
      <c r="L15"/>
      <c r="M15"/>
      <c r="N15"/>
      <c r="O15"/>
      <c r="P15"/>
      <c r="Q15"/>
    </row>
  </sheetData>
  <conditionalFormatting sqref="L1:L1048576">
    <cfRule type="containsText" dxfId="16" priority="1" operator="containsText" text="Expired">
      <formula>NOT(ISERROR(SEARCH("Expired",L1)))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A310-AD75-40A9-A100-E2F970BF77FE}">
  <sheetPr>
    <tabColor rgb="FF92D050"/>
    <pageSetUpPr fitToPage="1"/>
  </sheetPr>
  <dimension ref="A1:R39"/>
  <sheetViews>
    <sheetView workbookViewId="0">
      <selection activeCell="L6" sqref="L6"/>
    </sheetView>
  </sheetViews>
  <sheetFormatPr defaultRowHeight="14.4" x14ac:dyDescent="0.3"/>
  <cols>
    <col min="1" max="1" width="8.88671875" style="15"/>
    <col min="2" max="2" width="42.5546875" customWidth="1"/>
    <col min="3" max="3" width="15.88671875" style="9" bestFit="1" customWidth="1"/>
    <col min="4" max="4" width="16.5546875" style="5" bestFit="1" customWidth="1"/>
    <col min="5" max="5" width="15.88671875" style="5" customWidth="1"/>
    <col min="6" max="6" width="17.109375" style="49" customWidth="1"/>
    <col min="7" max="8" width="11.109375" customWidth="1"/>
    <col min="9" max="11" width="15.109375" style="16" customWidth="1"/>
    <col min="12" max="12" width="17.21875" style="16" bestFit="1" customWidth="1"/>
    <col min="14" max="14" width="19.109375" bestFit="1" customWidth="1"/>
    <col min="17" max="17" width="14.6640625" bestFit="1" customWidth="1"/>
    <col min="18" max="18" width="14.6640625" style="4" bestFit="1" customWidth="1"/>
  </cols>
  <sheetData>
    <row r="1" spans="1:18" s="2" customFormat="1" x14ac:dyDescent="0.3">
      <c r="A1" s="74" t="s">
        <v>0</v>
      </c>
      <c r="B1" s="75" t="s">
        <v>1</v>
      </c>
      <c r="C1" s="76" t="s">
        <v>47</v>
      </c>
      <c r="D1" s="76" t="s">
        <v>48</v>
      </c>
      <c r="E1" s="76" t="s">
        <v>49</v>
      </c>
      <c r="F1" s="77" t="s">
        <v>50</v>
      </c>
      <c r="G1" s="72" t="s">
        <v>51</v>
      </c>
      <c r="H1" s="72" t="s">
        <v>143</v>
      </c>
      <c r="I1" s="73" t="s">
        <v>52</v>
      </c>
      <c r="J1" s="73" t="s">
        <v>129</v>
      </c>
      <c r="K1" s="73" t="s">
        <v>130</v>
      </c>
      <c r="L1" s="73" t="s">
        <v>198</v>
      </c>
      <c r="N1" s="47" t="s">
        <v>53</v>
      </c>
      <c r="O1" s="47" t="s">
        <v>54</v>
      </c>
      <c r="P1" s="47"/>
      <c r="Q1" s="47"/>
      <c r="R1" s="48"/>
    </row>
    <row r="2" spans="1:18" x14ac:dyDescent="0.3">
      <c r="A2" s="78">
        <v>0</v>
      </c>
      <c r="B2" s="79" t="s">
        <v>207</v>
      </c>
      <c r="C2" s="80">
        <v>-290000000</v>
      </c>
      <c r="D2" s="80"/>
      <c r="E2" s="80">
        <f>C2</f>
        <v>-290000000</v>
      </c>
      <c r="F2" s="81"/>
      <c r="G2" s="82"/>
      <c r="H2" s="82"/>
      <c r="I2" s="83"/>
      <c r="J2" s="83"/>
      <c r="K2" s="83"/>
      <c r="L2" s="83"/>
      <c r="N2" s="12">
        <v>79449000</v>
      </c>
      <c r="O2" s="11">
        <f>E2/N2</f>
        <v>-3.6501403416027891</v>
      </c>
      <c r="P2" s="11"/>
      <c r="Q2" s="12">
        <v>12000000</v>
      </c>
      <c r="R2" s="12">
        <f>O2*Q2</f>
        <v>-43801684.099233471</v>
      </c>
    </row>
    <row r="3" spans="1:18" ht="15" x14ac:dyDescent="0.35">
      <c r="A3" s="78">
        <v>1</v>
      </c>
      <c r="B3" s="79" t="s">
        <v>208</v>
      </c>
      <c r="C3" s="80"/>
      <c r="D3" s="80">
        <v>3000000</v>
      </c>
      <c r="E3" s="80">
        <f ca="1">IF(K3="Active",E2+C3+D3,E2)</f>
        <v>-290000000</v>
      </c>
      <c r="F3" s="81"/>
      <c r="G3" s="82">
        <v>0</v>
      </c>
      <c r="H3" s="84"/>
      <c r="I3" s="84"/>
      <c r="J3" s="84"/>
      <c r="K3" s="84" t="str">
        <f t="shared" ref="K3:K4" ca="1" si="0">IF(TODAY()&gt;I3,"Expired","Active")</f>
        <v>Expired</v>
      </c>
    </row>
    <row r="4" spans="1:18" ht="15" x14ac:dyDescent="0.35">
      <c r="A4" s="78">
        <v>2</v>
      </c>
      <c r="B4" s="79" t="s">
        <v>209</v>
      </c>
      <c r="C4" s="80"/>
      <c r="D4" s="80">
        <f>F4*134</f>
        <v>6161856</v>
      </c>
      <c r="E4" s="80">
        <f t="shared" ref="E4:E6" ca="1" si="1">IF(K4="Active",E3+C4+D4,E3)</f>
        <v>-290000000</v>
      </c>
      <c r="F4" s="93">
        <v>45984</v>
      </c>
      <c r="G4" s="82">
        <f>D4/F4</f>
        <v>134</v>
      </c>
      <c r="H4" s="84"/>
      <c r="I4" s="84"/>
      <c r="J4" s="84"/>
      <c r="K4" s="84" t="str">
        <f t="shared" ca="1" si="0"/>
        <v>Expired</v>
      </c>
    </row>
    <row r="5" spans="1:18" ht="15" x14ac:dyDescent="0.35">
      <c r="A5" s="78">
        <v>3</v>
      </c>
      <c r="B5" s="79" t="s">
        <v>210</v>
      </c>
      <c r="C5" s="80"/>
      <c r="D5" s="80">
        <v>50000</v>
      </c>
      <c r="E5" s="80">
        <f t="shared" ca="1" si="1"/>
        <v>-290000000</v>
      </c>
      <c r="F5" s="81"/>
      <c r="G5" s="82">
        <v>0</v>
      </c>
      <c r="H5" s="84"/>
      <c r="I5" s="84"/>
      <c r="J5" s="84"/>
      <c r="K5" s="84" t="str">
        <f ca="1">IF(TODAY()&gt;I5,"Expired","Active")</f>
        <v>Expired</v>
      </c>
      <c r="L5" s="27" t="s">
        <v>151</v>
      </c>
    </row>
    <row r="6" spans="1:18" ht="15" x14ac:dyDescent="0.35">
      <c r="A6" s="78">
        <v>4</v>
      </c>
      <c r="B6" s="79" t="s">
        <v>254</v>
      </c>
      <c r="C6" s="80"/>
      <c r="D6" s="80">
        <v>500000</v>
      </c>
      <c r="E6" s="80">
        <f t="shared" ca="1" si="1"/>
        <v>-290000000</v>
      </c>
      <c r="F6" s="81"/>
      <c r="G6" s="82"/>
      <c r="H6" s="84"/>
      <c r="I6" s="84"/>
      <c r="J6" s="84"/>
      <c r="K6" s="84" t="str">
        <f ca="1">IF(TODAY()&gt;I6,"Expired","Active")</f>
        <v>Expired</v>
      </c>
      <c r="L6" s="27" t="s">
        <v>158</v>
      </c>
    </row>
    <row r="7" spans="1:18" ht="15" x14ac:dyDescent="0.35">
      <c r="A7" s="78"/>
      <c r="B7" s="79"/>
      <c r="C7" s="80"/>
      <c r="D7" s="80"/>
      <c r="E7" s="80"/>
      <c r="F7" s="81"/>
      <c r="G7" s="82"/>
      <c r="H7" s="84"/>
      <c r="I7" s="84"/>
      <c r="J7" s="84"/>
      <c r="K7" s="84"/>
      <c r="L7" s="85"/>
    </row>
    <row r="8" spans="1:18" s="2" customFormat="1" x14ac:dyDescent="0.3">
      <c r="A8" s="86"/>
      <c r="B8" s="87" t="s">
        <v>57</v>
      </c>
      <c r="C8" s="88">
        <f>SUM(C2:C5)</f>
        <v>-290000000</v>
      </c>
      <c r="D8" s="88">
        <f>SUM(D2:D7)</f>
        <v>9711856</v>
      </c>
      <c r="E8" s="88"/>
      <c r="F8" s="89"/>
      <c r="G8" s="90"/>
      <c r="H8" s="90"/>
      <c r="I8" s="91"/>
      <c r="J8" s="91"/>
      <c r="K8" s="91"/>
      <c r="L8" s="91"/>
      <c r="R8" s="13"/>
    </row>
    <row r="10" spans="1:18" s="2" customFormat="1" x14ac:dyDescent="0.3">
      <c r="A10" s="14"/>
      <c r="B10" s="3" t="s">
        <v>58</v>
      </c>
      <c r="C10" s="8"/>
      <c r="D10" s="52">
        <f>C8+D8</f>
        <v>-280288144</v>
      </c>
      <c r="E10" s="6"/>
      <c r="F10" s="53"/>
      <c r="I10" s="59"/>
      <c r="J10" s="59"/>
      <c r="K10" s="59"/>
      <c r="L10" s="59"/>
      <c r="R10" s="13"/>
    </row>
    <row r="11" spans="1:18" s="55" customFormat="1" x14ac:dyDescent="0.3">
      <c r="A11" s="54"/>
      <c r="B11" s="61" t="s">
        <v>59</v>
      </c>
      <c r="C11" s="62"/>
      <c r="D11" s="63">
        <v>132</v>
      </c>
      <c r="E11" s="56">
        <f>E12*131.5</f>
        <v>197250000</v>
      </c>
      <c r="F11" s="57"/>
      <c r="I11" s="60"/>
      <c r="J11" s="60"/>
      <c r="K11" s="60"/>
      <c r="L11" s="60"/>
      <c r="R11" s="66"/>
    </row>
    <row r="12" spans="1:18" s="2" customFormat="1" x14ac:dyDescent="0.3">
      <c r="A12" s="14"/>
      <c r="B12" s="3" t="s">
        <v>60</v>
      </c>
      <c r="C12" s="8"/>
      <c r="D12" s="64">
        <f>D10/D11</f>
        <v>-2123395.0303030303</v>
      </c>
      <c r="E12" s="64">
        <v>1500000</v>
      </c>
      <c r="F12" s="64">
        <f>E12-D12</f>
        <v>3623395.0303030303</v>
      </c>
      <c r="I12" s="59"/>
      <c r="J12" s="59"/>
      <c r="K12" s="59"/>
      <c r="L12" s="59"/>
      <c r="R12" s="13"/>
    </row>
    <row r="13" spans="1:18" x14ac:dyDescent="0.3">
      <c r="F13" s="65">
        <f>F12*132</f>
        <v>478288144</v>
      </c>
    </row>
    <row r="15" spans="1:18" x14ac:dyDescent="0.3">
      <c r="B15" s="2" t="s">
        <v>61</v>
      </c>
    </row>
    <row r="16" spans="1:18" x14ac:dyDescent="0.3">
      <c r="B16" s="11"/>
      <c r="C16" s="51"/>
      <c r="D16" s="51"/>
      <c r="E16" s="5" t="s">
        <v>62</v>
      </c>
      <c r="F16" s="49">
        <f>D16/132</f>
        <v>0</v>
      </c>
    </row>
    <row r="17" spans="1:18" x14ac:dyDescent="0.3">
      <c r="B17" s="11"/>
      <c r="C17" s="51"/>
      <c r="D17" s="51"/>
      <c r="E17" s="5" t="s">
        <v>63</v>
      </c>
      <c r="F17" s="49">
        <f>D17/132</f>
        <v>0</v>
      </c>
    </row>
    <row r="18" spans="1:18" x14ac:dyDescent="0.3">
      <c r="B18" s="11"/>
      <c r="C18" s="51"/>
      <c r="D18" s="51"/>
      <c r="E18" s="5" t="s">
        <v>64</v>
      </c>
      <c r="F18" s="49">
        <f>D18/132</f>
        <v>0</v>
      </c>
    </row>
    <row r="19" spans="1:18" x14ac:dyDescent="0.3">
      <c r="F19" s="49">
        <f>F12-F16-F17</f>
        <v>3623395.0303030303</v>
      </c>
      <c r="G19" t="s">
        <v>65</v>
      </c>
    </row>
    <row r="20" spans="1:18" x14ac:dyDescent="0.3">
      <c r="B20" t="s">
        <v>66</v>
      </c>
      <c r="D20" s="5">
        <f>D10+D16+D17+D18</f>
        <v>-280288144</v>
      </c>
    </row>
    <row r="21" spans="1:18" x14ac:dyDescent="0.3">
      <c r="D21" s="5">
        <v>132</v>
      </c>
      <c r="F21" s="49">
        <f>F19-F18</f>
        <v>3623395.0303030303</v>
      </c>
    </row>
    <row r="22" spans="1:18" x14ac:dyDescent="0.3">
      <c r="D22" s="5">
        <f>D20/D21</f>
        <v>-2123395.0303030303</v>
      </c>
    </row>
    <row r="25" spans="1:18" x14ac:dyDescent="0.3">
      <c r="D25" s="5">
        <v>1500000</v>
      </c>
    </row>
    <row r="26" spans="1:18" x14ac:dyDescent="0.3">
      <c r="D26" s="5">
        <f>D25-D22</f>
        <v>3623395.0303030303</v>
      </c>
    </row>
    <row r="32" spans="1:18" s="5" customFormat="1" x14ac:dyDescent="0.3">
      <c r="A32" s="15"/>
      <c r="B32" s="47" t="s">
        <v>67</v>
      </c>
      <c r="C32" s="69" t="s">
        <v>68</v>
      </c>
      <c r="D32" s="50" t="s">
        <v>69</v>
      </c>
      <c r="F32" s="49"/>
      <c r="G32"/>
      <c r="H32"/>
      <c r="I32" s="16"/>
      <c r="J32" s="16"/>
      <c r="K32" s="16"/>
      <c r="L32" s="16"/>
      <c r="M32"/>
      <c r="N32"/>
      <c r="O32"/>
      <c r="P32"/>
      <c r="Q32"/>
      <c r="R32" s="4"/>
    </row>
    <row r="33" spans="1:18" s="5" customFormat="1" x14ac:dyDescent="0.3">
      <c r="A33" s="15"/>
      <c r="B33" s="11" t="s">
        <v>70</v>
      </c>
      <c r="C33" s="68" t="s">
        <v>71</v>
      </c>
      <c r="D33" s="51"/>
      <c r="F33" s="49"/>
      <c r="G33"/>
      <c r="H33"/>
      <c r="I33" s="16"/>
      <c r="J33" s="16"/>
      <c r="K33" s="16"/>
      <c r="L33" s="16"/>
      <c r="M33"/>
      <c r="N33"/>
      <c r="O33"/>
      <c r="P33"/>
      <c r="Q33"/>
      <c r="R33" s="4"/>
    </row>
    <row r="34" spans="1:18" s="5" customFormat="1" x14ac:dyDescent="0.3">
      <c r="A34" s="15"/>
      <c r="B34" s="11" t="s">
        <v>72</v>
      </c>
      <c r="C34" s="67" t="s">
        <v>73</v>
      </c>
      <c r="D34" s="51"/>
      <c r="F34" s="49"/>
      <c r="G34"/>
      <c r="H34"/>
      <c r="I34" s="16"/>
      <c r="J34" s="16"/>
      <c r="K34" s="16"/>
      <c r="L34" s="16"/>
      <c r="M34"/>
      <c r="N34"/>
      <c r="O34"/>
      <c r="P34"/>
      <c r="Q34"/>
      <c r="R34" s="4"/>
    </row>
    <row r="35" spans="1:18" s="5" customFormat="1" x14ac:dyDescent="0.3">
      <c r="A35" s="15"/>
      <c r="B35" s="3" t="s">
        <v>74</v>
      </c>
      <c r="C35" s="8" t="s">
        <v>75</v>
      </c>
      <c r="D35" s="52" t="s">
        <v>76</v>
      </c>
      <c r="F35" s="49"/>
      <c r="G35"/>
      <c r="H35"/>
      <c r="I35" s="16"/>
      <c r="J35" s="16"/>
      <c r="K35" s="16"/>
      <c r="L35" s="16"/>
      <c r="M35"/>
      <c r="N35"/>
      <c r="O35"/>
      <c r="P35"/>
      <c r="Q35"/>
      <c r="R35" s="4"/>
    </row>
    <row r="36" spans="1:18" s="5" customFormat="1" x14ac:dyDescent="0.3">
      <c r="A36" s="15"/>
      <c r="B36" s="11"/>
      <c r="C36" s="67"/>
      <c r="D36" s="51"/>
      <c r="F36" s="49"/>
      <c r="G36"/>
      <c r="H36"/>
      <c r="I36" s="16"/>
      <c r="J36" s="16"/>
      <c r="K36" s="16"/>
      <c r="L36" s="16"/>
      <c r="M36"/>
      <c r="N36"/>
      <c r="O36"/>
      <c r="P36"/>
      <c r="Q36"/>
      <c r="R36" s="4"/>
    </row>
    <row r="37" spans="1:18" s="5" customFormat="1" x14ac:dyDescent="0.3">
      <c r="A37" s="15"/>
      <c r="B37" s="3" t="s">
        <v>77</v>
      </c>
      <c r="C37" s="8" t="s">
        <v>78</v>
      </c>
      <c r="D37" s="52" t="s">
        <v>79</v>
      </c>
      <c r="F37" s="49"/>
      <c r="G37"/>
      <c r="H37"/>
      <c r="I37" s="16"/>
      <c r="J37" s="16"/>
      <c r="K37" s="16"/>
      <c r="L37" s="16"/>
      <c r="M37"/>
      <c r="N37"/>
      <c r="O37"/>
      <c r="P37"/>
      <c r="Q37"/>
      <c r="R37" s="4"/>
    </row>
    <row r="38" spans="1:18" s="5" customFormat="1" x14ac:dyDescent="0.3">
      <c r="A38" s="15"/>
      <c r="B38" s="11"/>
      <c r="C38" s="67"/>
      <c r="D38" s="51"/>
      <c r="F38" s="49"/>
      <c r="G38"/>
      <c r="H38"/>
      <c r="I38" s="16"/>
      <c r="J38" s="16"/>
      <c r="K38" s="16"/>
      <c r="L38" s="16"/>
      <c r="M38"/>
      <c r="N38"/>
      <c r="O38"/>
      <c r="P38"/>
      <c r="Q38"/>
      <c r="R38" s="4"/>
    </row>
    <row r="39" spans="1:18" s="5" customFormat="1" x14ac:dyDescent="0.3">
      <c r="A39" s="15"/>
      <c r="B39" s="3" t="s">
        <v>80</v>
      </c>
      <c r="C39" s="8" t="s">
        <v>81</v>
      </c>
      <c r="D39" s="52" t="s">
        <v>82</v>
      </c>
      <c r="F39" s="49"/>
      <c r="G39"/>
      <c r="H39"/>
      <c r="I39" s="16"/>
      <c r="J39" s="16"/>
      <c r="K39" s="16"/>
      <c r="L39" s="16"/>
      <c r="M39"/>
      <c r="N39"/>
      <c r="O39"/>
      <c r="P39"/>
      <c r="Q39"/>
      <c r="R39" s="4"/>
    </row>
  </sheetData>
  <sheetProtection formatCells="0" formatColumns="0" formatRows="0" insertColumns="0" insertRows="0" insertHyperlinks="0" deleteColumns="0" deleteRows="0" sort="0" autoFilter="0" pivotTables="0"/>
  <conditionalFormatting sqref="K1:K1048576">
    <cfRule type="containsText" dxfId="15" priority="1" operator="containsText" text="Expired">
      <formula>NOT(ISERROR(SEARCH("Expired",K1)))</formula>
    </cfRule>
  </conditionalFormatting>
  <conditionalFormatting sqref="L1:L2 L5:L1048576">
    <cfRule type="duplicateValues" dxfId="14" priority="5"/>
  </conditionalFormatting>
  <pageMargins left="0.7" right="0.7" top="0.75" bottom="0.75" header="0.3" footer="0.3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92A7-FBC9-4F36-8934-83FB2F2770EA}">
  <sheetPr>
    <tabColor rgb="FF92D050"/>
    <pageSetUpPr fitToPage="1"/>
  </sheetPr>
  <dimension ref="A1:R43"/>
  <sheetViews>
    <sheetView tabSelected="1" workbookViewId="0">
      <selection activeCell="E8" sqref="E8"/>
    </sheetView>
  </sheetViews>
  <sheetFormatPr defaultRowHeight="14.4" x14ac:dyDescent="0.3"/>
  <cols>
    <col min="1" max="1" width="9.109375" style="15"/>
    <col min="2" max="2" width="42.5546875" customWidth="1"/>
    <col min="3" max="3" width="15.88671875" style="9" bestFit="1" customWidth="1"/>
    <col min="4" max="4" width="16.5546875" style="5" bestFit="1" customWidth="1"/>
    <col min="5" max="5" width="15.88671875" style="5" customWidth="1"/>
    <col min="6" max="6" width="17.109375" style="49" customWidth="1"/>
    <col min="7" max="8" width="11.109375" customWidth="1"/>
    <col min="9" max="11" width="15.109375" style="16" customWidth="1"/>
    <col min="12" max="12" width="17.21875" style="16" bestFit="1" customWidth="1"/>
    <col min="14" max="14" width="19.109375" bestFit="1" customWidth="1"/>
    <col min="17" max="17" width="14.6640625" bestFit="1" customWidth="1"/>
    <col min="18" max="18" width="14.6640625" style="4" bestFit="1" customWidth="1"/>
  </cols>
  <sheetData>
    <row r="1" spans="1:18" s="2" customFormat="1" x14ac:dyDescent="0.3">
      <c r="A1" s="74" t="s">
        <v>0</v>
      </c>
      <c r="B1" s="75" t="s">
        <v>1</v>
      </c>
      <c r="C1" s="76" t="s">
        <v>47</v>
      </c>
      <c r="D1" s="76" t="s">
        <v>48</v>
      </c>
      <c r="E1" s="76" t="s">
        <v>49</v>
      </c>
      <c r="F1" s="77" t="s">
        <v>50</v>
      </c>
      <c r="G1" s="72" t="s">
        <v>51</v>
      </c>
      <c r="H1" s="72" t="s">
        <v>143</v>
      </c>
      <c r="I1" s="73" t="s">
        <v>52</v>
      </c>
      <c r="J1" s="73" t="s">
        <v>129</v>
      </c>
      <c r="K1" s="73" t="s">
        <v>130</v>
      </c>
      <c r="L1" s="73" t="s">
        <v>198</v>
      </c>
      <c r="N1" s="47" t="s">
        <v>53</v>
      </c>
      <c r="O1" s="47" t="s">
        <v>54</v>
      </c>
      <c r="P1" s="47"/>
      <c r="Q1" s="47"/>
      <c r="R1" s="48"/>
    </row>
    <row r="2" spans="1:18" x14ac:dyDescent="0.3">
      <c r="A2" s="78">
        <v>0</v>
      </c>
      <c r="B2" s="79" t="s">
        <v>55</v>
      </c>
      <c r="C2" s="80">
        <v>300000000</v>
      </c>
      <c r="D2" s="80"/>
      <c r="E2" s="80">
        <f>C2</f>
        <v>300000000</v>
      </c>
      <c r="F2" s="81"/>
      <c r="G2" s="82"/>
      <c r="H2" s="82"/>
      <c r="I2" s="83"/>
      <c r="J2" s="83"/>
      <c r="K2" s="83"/>
      <c r="L2" s="83"/>
      <c r="N2" s="12">
        <v>79449000</v>
      </c>
      <c r="O2" s="11">
        <f>E2/N2</f>
        <v>3.7760072499339197</v>
      </c>
      <c r="P2" s="11"/>
      <c r="Q2" s="12">
        <v>12000000</v>
      </c>
      <c r="R2" s="12">
        <f>O2*Q2</f>
        <v>45312086.999207035</v>
      </c>
    </row>
    <row r="3" spans="1:18" ht="15" x14ac:dyDescent="0.35">
      <c r="A3" s="78">
        <v>1</v>
      </c>
      <c r="B3" s="79" t="s">
        <v>56</v>
      </c>
      <c r="C3" s="80"/>
      <c r="D3" s="80">
        <f>F3*134</f>
        <v>10720000</v>
      </c>
      <c r="E3" s="80">
        <f ca="1">IF(K3="Active",E2+C3+D3,E2)</f>
        <v>310720000</v>
      </c>
      <c r="F3" s="81">
        <f>80000</f>
        <v>80000</v>
      </c>
      <c r="G3" s="82">
        <f>D3/F3</f>
        <v>134</v>
      </c>
      <c r="H3" s="84">
        <v>45572</v>
      </c>
      <c r="I3" s="84">
        <v>46022</v>
      </c>
      <c r="J3" s="84">
        <v>46053</v>
      </c>
      <c r="K3" s="84" t="str">
        <f t="shared" ref="K3:K4" ca="1" si="0">IF(TODAY()&gt;I3,"Expired","Active")</f>
        <v>Active</v>
      </c>
      <c r="L3" s="85" t="s">
        <v>205</v>
      </c>
    </row>
    <row r="4" spans="1:18" ht="15" x14ac:dyDescent="0.35">
      <c r="A4" s="78">
        <v>2</v>
      </c>
      <c r="B4" s="79" t="s">
        <v>165</v>
      </c>
      <c r="C4" s="80"/>
      <c r="D4" s="80">
        <f>F4*134</f>
        <v>46900000</v>
      </c>
      <c r="E4" s="80">
        <f t="shared" ref="E4:E9" ca="1" si="1">IF(K4="Active",E3+C4+D4,E3)</f>
        <v>357620000</v>
      </c>
      <c r="F4" s="81">
        <v>350000</v>
      </c>
      <c r="G4" s="82">
        <f>D4/F4</f>
        <v>134</v>
      </c>
      <c r="H4" s="84">
        <v>44624</v>
      </c>
      <c r="I4" s="84">
        <v>45720</v>
      </c>
      <c r="J4" s="84">
        <v>45751</v>
      </c>
      <c r="K4" s="84" t="str">
        <f t="shared" ca="1" si="0"/>
        <v>Active</v>
      </c>
      <c r="L4" s="85" t="s">
        <v>199</v>
      </c>
    </row>
    <row r="5" spans="1:18" ht="15" x14ac:dyDescent="0.35">
      <c r="A5" s="78">
        <v>3</v>
      </c>
      <c r="B5" s="79" t="s">
        <v>165</v>
      </c>
      <c r="C5" s="80"/>
      <c r="D5" s="80">
        <f>F5*134</f>
        <v>67000000</v>
      </c>
      <c r="E5" s="80">
        <f t="shared" ca="1" si="1"/>
        <v>424620000</v>
      </c>
      <c r="F5" s="81">
        <v>500000</v>
      </c>
      <c r="G5" s="82">
        <f>D5/F5</f>
        <v>134</v>
      </c>
      <c r="H5" s="84">
        <v>45062</v>
      </c>
      <c r="I5" s="84">
        <v>45943</v>
      </c>
      <c r="J5" s="84">
        <v>45973</v>
      </c>
      <c r="K5" s="84" t="str">
        <f ca="1">IF(TODAY()&gt;I5,"Expired","Active")</f>
        <v>Active</v>
      </c>
      <c r="L5" s="85" t="s">
        <v>200</v>
      </c>
    </row>
    <row r="6" spans="1:18" ht="15" x14ac:dyDescent="0.35">
      <c r="A6" s="78">
        <v>7</v>
      </c>
      <c r="B6" s="79" t="s">
        <v>165</v>
      </c>
      <c r="C6" s="80"/>
      <c r="D6" s="80">
        <f>F6*134</f>
        <v>67000000</v>
      </c>
      <c r="E6" s="80">
        <f ca="1">IF(K6="Active",E9+C6+D6,E9)</f>
        <v>478220000</v>
      </c>
      <c r="F6" s="81">
        <v>500000</v>
      </c>
      <c r="G6" s="82">
        <f>D6/F6</f>
        <v>134</v>
      </c>
      <c r="H6" s="84">
        <v>45062</v>
      </c>
      <c r="I6" s="84">
        <v>45578</v>
      </c>
      <c r="J6" s="84">
        <v>45608</v>
      </c>
      <c r="K6" s="84" t="str">
        <f ca="1">IF(TODAY()&gt;I6,"Expired","Active")</f>
        <v>Expired</v>
      </c>
      <c r="L6" s="85" t="s">
        <v>200</v>
      </c>
    </row>
    <row r="7" spans="1:18" ht="28.2" x14ac:dyDescent="0.35">
      <c r="A7" s="78">
        <v>4</v>
      </c>
      <c r="B7" s="92" t="s">
        <v>201</v>
      </c>
      <c r="C7" s="80"/>
      <c r="D7" s="80">
        <f>F7*G7</f>
        <v>197250000</v>
      </c>
      <c r="E7" s="80">
        <f ca="1">IF(K7="Active",E5+C7+D7,E5)</f>
        <v>424620000</v>
      </c>
      <c r="F7" s="81">
        <v>1500000</v>
      </c>
      <c r="G7" s="82">
        <v>131.5</v>
      </c>
      <c r="H7" s="84">
        <v>45166</v>
      </c>
      <c r="I7" s="84">
        <v>45531</v>
      </c>
      <c r="J7" s="84">
        <v>45712</v>
      </c>
      <c r="K7" s="84" t="str">
        <f t="shared" ref="K7:K9" ca="1" si="2">IF(TODAY()&gt;I7,"Expired","Active")</f>
        <v>Expired</v>
      </c>
      <c r="L7" s="85" t="s">
        <v>202</v>
      </c>
    </row>
    <row r="8" spans="1:18" ht="28.2" x14ac:dyDescent="0.35">
      <c r="A8" s="78">
        <v>5</v>
      </c>
      <c r="B8" s="92" t="s">
        <v>203</v>
      </c>
      <c r="C8" s="80"/>
      <c r="D8" s="80">
        <v>24393000</v>
      </c>
      <c r="E8" s="80">
        <f t="shared" ca="1" si="1"/>
        <v>424620000</v>
      </c>
      <c r="F8" s="81"/>
      <c r="G8" s="82"/>
      <c r="H8" s="84">
        <v>45515</v>
      </c>
      <c r="I8" s="84">
        <v>45667</v>
      </c>
      <c r="J8" s="84">
        <v>45667</v>
      </c>
      <c r="K8" s="84" t="s">
        <v>134</v>
      </c>
      <c r="L8" s="85" t="s">
        <v>204</v>
      </c>
    </row>
    <row r="9" spans="1:18" ht="28.2" x14ac:dyDescent="0.35">
      <c r="A9" s="78">
        <v>6</v>
      </c>
      <c r="B9" s="92" t="s">
        <v>201</v>
      </c>
      <c r="C9" s="80"/>
      <c r="D9" s="80">
        <f>F9*134</f>
        <v>53600000</v>
      </c>
      <c r="E9" s="80">
        <f t="shared" ca="1" si="1"/>
        <v>478220000</v>
      </c>
      <c r="F9" s="81">
        <v>400000</v>
      </c>
      <c r="G9" s="82">
        <f>D9/F9</f>
        <v>134</v>
      </c>
      <c r="H9" s="84">
        <v>45574</v>
      </c>
      <c r="I9" s="84">
        <v>45746</v>
      </c>
      <c r="J9" s="84">
        <v>45930</v>
      </c>
      <c r="K9" s="84" t="str">
        <f t="shared" ca="1" si="2"/>
        <v>Active</v>
      </c>
      <c r="L9" s="85" t="s">
        <v>206</v>
      </c>
    </row>
    <row r="10" spans="1:18" ht="15" x14ac:dyDescent="0.35">
      <c r="A10" s="78"/>
      <c r="B10" s="79"/>
      <c r="C10" s="80"/>
      <c r="D10" s="80"/>
      <c r="E10" s="80"/>
      <c r="F10" s="81"/>
      <c r="G10" s="82"/>
      <c r="H10" s="84"/>
      <c r="I10" s="84"/>
      <c r="J10" s="84"/>
      <c r="K10" s="84"/>
      <c r="L10" s="85"/>
    </row>
    <row r="11" spans="1:18" ht="15" x14ac:dyDescent="0.35">
      <c r="A11" s="78"/>
      <c r="B11" s="79"/>
      <c r="C11" s="80"/>
      <c r="D11" s="80"/>
      <c r="E11" s="80"/>
      <c r="F11" s="81"/>
      <c r="G11" s="82"/>
      <c r="H11" s="84"/>
      <c r="I11" s="84"/>
      <c r="J11" s="84"/>
      <c r="K11" s="84"/>
      <c r="L11" s="85"/>
    </row>
    <row r="12" spans="1:18" s="2" customFormat="1" x14ac:dyDescent="0.3">
      <c r="A12" s="86"/>
      <c r="B12" s="87" t="s">
        <v>57</v>
      </c>
      <c r="C12" s="88">
        <f>SUM(C2:C9)</f>
        <v>300000000</v>
      </c>
      <c r="D12" s="88">
        <f>SUM(D2:D9)</f>
        <v>466863000</v>
      </c>
      <c r="E12" s="88"/>
      <c r="F12" s="89"/>
      <c r="G12" s="90"/>
      <c r="H12" s="90"/>
      <c r="I12" s="91"/>
      <c r="J12" s="91"/>
      <c r="K12" s="91"/>
      <c r="L12" s="91"/>
      <c r="R12" s="13"/>
    </row>
    <row r="14" spans="1:18" s="2" customFormat="1" x14ac:dyDescent="0.3">
      <c r="A14" s="14"/>
      <c r="B14" s="3" t="s">
        <v>58</v>
      </c>
      <c r="C14" s="8"/>
      <c r="D14" s="52">
        <f>C12+D12</f>
        <v>766863000</v>
      </c>
      <c r="E14" s="6"/>
      <c r="F14" s="53"/>
      <c r="I14" s="59"/>
      <c r="J14" s="59"/>
      <c r="K14" s="59"/>
      <c r="L14" s="59"/>
      <c r="R14" s="13"/>
    </row>
    <row r="15" spans="1:18" s="55" customFormat="1" x14ac:dyDescent="0.3">
      <c r="A15" s="54"/>
      <c r="B15" s="61" t="s">
        <v>59</v>
      </c>
      <c r="C15" s="62"/>
      <c r="D15" s="63">
        <v>132</v>
      </c>
      <c r="E15" s="56">
        <f>E16*131.5</f>
        <v>197250000</v>
      </c>
      <c r="F15" s="57"/>
      <c r="I15" s="60"/>
      <c r="J15" s="60"/>
      <c r="K15" s="60"/>
      <c r="L15" s="60"/>
      <c r="R15" s="66"/>
    </row>
    <row r="16" spans="1:18" s="2" customFormat="1" x14ac:dyDescent="0.3">
      <c r="A16" s="14"/>
      <c r="B16" s="3" t="s">
        <v>60</v>
      </c>
      <c r="C16" s="8"/>
      <c r="D16" s="64">
        <f>D14/D15</f>
        <v>5809568.1818181816</v>
      </c>
      <c r="E16" s="64">
        <v>1500000</v>
      </c>
      <c r="F16" s="64">
        <f>E16-D16</f>
        <v>-4309568.1818181816</v>
      </c>
      <c r="I16" s="59"/>
      <c r="J16" s="59"/>
      <c r="K16" s="59"/>
      <c r="L16" s="59"/>
      <c r="R16" s="13"/>
    </row>
    <row r="17" spans="2:7" x14ac:dyDescent="0.3">
      <c r="F17" s="65">
        <f>F16*132</f>
        <v>-568863000</v>
      </c>
    </row>
    <row r="19" spans="2:7" x14ac:dyDescent="0.3">
      <c r="B19" s="2" t="s">
        <v>61</v>
      </c>
    </row>
    <row r="20" spans="2:7" x14ac:dyDescent="0.3">
      <c r="B20" s="11"/>
      <c r="C20" s="51"/>
      <c r="D20" s="51"/>
      <c r="E20" s="5" t="s">
        <v>62</v>
      </c>
      <c r="F20" s="49">
        <f>D20/132</f>
        <v>0</v>
      </c>
    </row>
    <row r="21" spans="2:7" x14ac:dyDescent="0.3">
      <c r="B21" s="11"/>
      <c r="C21" s="51"/>
      <c r="D21" s="51"/>
      <c r="E21" s="5" t="s">
        <v>63</v>
      </c>
      <c r="F21" s="49">
        <f>D21/132</f>
        <v>0</v>
      </c>
    </row>
    <row r="22" spans="2:7" x14ac:dyDescent="0.3">
      <c r="B22" s="11"/>
      <c r="C22" s="51"/>
      <c r="D22" s="51"/>
      <c r="E22" s="5" t="s">
        <v>64</v>
      </c>
      <c r="F22" s="49">
        <f>D22/132</f>
        <v>0</v>
      </c>
    </row>
    <row r="23" spans="2:7" x14ac:dyDescent="0.3">
      <c r="F23" s="49">
        <f>F16-F20-F21</f>
        <v>-4309568.1818181816</v>
      </c>
      <c r="G23" t="s">
        <v>65</v>
      </c>
    </row>
    <row r="24" spans="2:7" x14ac:dyDescent="0.3">
      <c r="B24" t="s">
        <v>66</v>
      </c>
      <c r="D24" s="5">
        <f>D14+D20+D21+D22</f>
        <v>766863000</v>
      </c>
    </row>
    <row r="25" spans="2:7" x14ac:dyDescent="0.3">
      <c r="D25" s="5">
        <v>132</v>
      </c>
      <c r="F25" s="49">
        <f>F23-F22</f>
        <v>-4309568.1818181816</v>
      </c>
    </row>
    <row r="26" spans="2:7" x14ac:dyDescent="0.3">
      <c r="D26" s="5">
        <f>D24/D25</f>
        <v>5809568.1818181816</v>
      </c>
    </row>
    <row r="29" spans="2:7" x14ac:dyDescent="0.3">
      <c r="D29" s="5">
        <v>1500000</v>
      </c>
    </row>
    <row r="30" spans="2:7" x14ac:dyDescent="0.3">
      <c r="D30" s="5">
        <f>D29-D26</f>
        <v>-4309568.1818181816</v>
      </c>
    </row>
    <row r="36" spans="2:4" x14ac:dyDescent="0.3">
      <c r="B36" s="47" t="s">
        <v>67</v>
      </c>
      <c r="C36" s="69" t="s">
        <v>68</v>
      </c>
      <c r="D36" s="50" t="s">
        <v>69</v>
      </c>
    </row>
    <row r="37" spans="2:4" x14ac:dyDescent="0.3">
      <c r="B37" s="11" t="s">
        <v>70</v>
      </c>
      <c r="C37" s="68" t="s">
        <v>71</v>
      </c>
      <c r="D37" s="51"/>
    </row>
    <row r="38" spans="2:4" x14ac:dyDescent="0.3">
      <c r="B38" s="11" t="s">
        <v>72</v>
      </c>
      <c r="C38" s="67" t="s">
        <v>73</v>
      </c>
      <c r="D38" s="51"/>
    </row>
    <row r="39" spans="2:4" x14ac:dyDescent="0.3">
      <c r="B39" s="3" t="s">
        <v>74</v>
      </c>
      <c r="C39" s="8" t="s">
        <v>75</v>
      </c>
      <c r="D39" s="52" t="s">
        <v>76</v>
      </c>
    </row>
    <row r="40" spans="2:4" x14ac:dyDescent="0.3">
      <c r="B40" s="11"/>
      <c r="C40" s="67"/>
      <c r="D40" s="51"/>
    </row>
    <row r="41" spans="2:4" x14ac:dyDescent="0.3">
      <c r="B41" s="3" t="s">
        <v>77</v>
      </c>
      <c r="C41" s="8" t="s">
        <v>78</v>
      </c>
      <c r="D41" s="52" t="s">
        <v>79</v>
      </c>
    </row>
    <row r="42" spans="2:4" x14ac:dyDescent="0.3">
      <c r="B42" s="11"/>
      <c r="C42" s="67"/>
      <c r="D42" s="51"/>
    </row>
    <row r="43" spans="2:4" x14ac:dyDescent="0.3">
      <c r="B43" s="3" t="s">
        <v>80</v>
      </c>
      <c r="C43" s="8" t="s">
        <v>81</v>
      </c>
      <c r="D43" s="52" t="s">
        <v>82</v>
      </c>
    </row>
  </sheetData>
  <sheetProtection formatCells="0" formatColumns="0" formatRows="0" insertColumns="0" insertRows="0" insertHyperlinks="0" deleteColumns="0" deleteRows="0" sort="0" autoFilter="0" pivotTables="0"/>
  <conditionalFormatting sqref="L1:L1048576">
    <cfRule type="duplicateValues" dxfId="13" priority="2"/>
  </conditionalFormatting>
  <conditionalFormatting sqref="K1:K1048576">
    <cfRule type="containsText" dxfId="12" priority="1" operator="containsText" text="Expired">
      <formula>NOT(ISERROR(SEARCH("Expired",K1)))</formula>
    </cfRule>
  </conditionalFormatting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1A36-BEF6-4AAA-9FF7-E8F4E4F582E2}">
  <dimension ref="A1:M21"/>
  <sheetViews>
    <sheetView workbookViewId="0">
      <selection activeCell="C2" sqref="C2"/>
    </sheetView>
  </sheetViews>
  <sheetFormatPr defaultColWidth="9.109375" defaultRowHeight="14.4" x14ac:dyDescent="0.3"/>
  <cols>
    <col min="1" max="1" width="17.5546875" bestFit="1" customWidth="1"/>
    <col min="2" max="2" width="17.5546875" customWidth="1"/>
    <col min="3" max="3" width="17.5546875" style="42" customWidth="1"/>
    <col min="4" max="4" width="17.109375" style="40" customWidth="1"/>
    <col min="5" max="5" width="17.109375" style="42" customWidth="1"/>
    <col min="6" max="6" width="17.44140625" style="37" bestFit="1" customWidth="1"/>
    <col min="7" max="8" width="16.33203125" style="40" customWidth="1"/>
    <col min="9" max="9" width="18.33203125" style="40" bestFit="1" customWidth="1"/>
    <col min="10" max="10" width="15.33203125" bestFit="1" customWidth="1"/>
    <col min="11" max="11" width="24" bestFit="1" customWidth="1"/>
    <col min="12" max="12" width="13.88671875" bestFit="1" customWidth="1"/>
    <col min="13" max="13" width="16.109375" bestFit="1" customWidth="1"/>
  </cols>
  <sheetData>
    <row r="1" spans="1:13" s="2" customFormat="1" x14ac:dyDescent="0.3">
      <c r="A1" s="2" t="s">
        <v>83</v>
      </c>
      <c r="B1" s="2" t="s">
        <v>84</v>
      </c>
      <c r="C1" s="41" t="s">
        <v>85</v>
      </c>
      <c r="D1" s="41" t="s">
        <v>86</v>
      </c>
      <c r="E1" s="41" t="s">
        <v>87</v>
      </c>
      <c r="F1" s="36" t="s">
        <v>88</v>
      </c>
      <c r="G1" s="41" t="s">
        <v>89</v>
      </c>
      <c r="H1" s="41" t="s">
        <v>90</v>
      </c>
      <c r="I1" s="41" t="s">
        <v>91</v>
      </c>
      <c r="J1" s="2" t="s">
        <v>92</v>
      </c>
      <c r="K1" s="2" t="s">
        <v>93</v>
      </c>
      <c r="L1" s="2" t="s">
        <v>94</v>
      </c>
      <c r="M1" s="2" t="s">
        <v>95</v>
      </c>
    </row>
    <row r="2" spans="1:13" x14ac:dyDescent="0.3">
      <c r="A2" t="s">
        <v>96</v>
      </c>
      <c r="B2" t="s">
        <v>97</v>
      </c>
      <c r="C2" s="42">
        <v>2743</v>
      </c>
      <c r="D2" s="40">
        <v>140368806.99000001</v>
      </c>
      <c r="E2" s="42">
        <v>16</v>
      </c>
      <c r="F2" s="37">
        <v>991375.17</v>
      </c>
      <c r="G2" s="40">
        <f>D2*5%</f>
        <v>7018440.3495000005</v>
      </c>
      <c r="H2" s="40">
        <f>F2*2%</f>
        <v>19827.503400000001</v>
      </c>
      <c r="I2" s="40">
        <f>SUM(G2:H2)</f>
        <v>7038267.8529000003</v>
      </c>
      <c r="L2" s="16">
        <v>44986</v>
      </c>
      <c r="M2" s="45" t="s">
        <v>98</v>
      </c>
    </row>
    <row r="3" spans="1:13" x14ac:dyDescent="0.3">
      <c r="A3" t="s">
        <v>96</v>
      </c>
      <c r="B3" t="s">
        <v>99</v>
      </c>
      <c r="C3" s="42">
        <v>4190</v>
      </c>
      <c r="D3" s="40">
        <v>205246706.05000001</v>
      </c>
      <c r="E3" s="42">
        <v>40</v>
      </c>
      <c r="F3" s="37">
        <v>1371252.01</v>
      </c>
      <c r="G3" s="40">
        <f t="shared" ref="G3:G6" si="0">D3*5%</f>
        <v>10262335.302500002</v>
      </c>
      <c r="H3" s="40">
        <f t="shared" ref="H3:H7" si="1">F3*2%</f>
        <v>27425.040199999999</v>
      </c>
      <c r="I3" s="40">
        <f t="shared" ref="I3:I14" si="2">SUM(G3:H3)</f>
        <v>10289760.342700003</v>
      </c>
      <c r="L3" s="16">
        <v>44986</v>
      </c>
      <c r="M3" s="46"/>
    </row>
    <row r="4" spans="1:13" x14ac:dyDescent="0.3">
      <c r="A4" t="s">
        <v>96</v>
      </c>
      <c r="B4" t="s">
        <v>100</v>
      </c>
      <c r="C4" s="42">
        <v>4630</v>
      </c>
      <c r="D4" s="40">
        <v>228715617.05000001</v>
      </c>
      <c r="E4" s="42">
        <v>67</v>
      </c>
      <c r="F4" s="37">
        <v>1775129.24</v>
      </c>
      <c r="G4" s="40">
        <f t="shared" si="0"/>
        <v>11435780.852500001</v>
      </c>
      <c r="H4" s="40">
        <f t="shared" si="1"/>
        <v>35502.584800000004</v>
      </c>
      <c r="I4" s="40">
        <f t="shared" si="2"/>
        <v>11471283.4373</v>
      </c>
      <c r="L4" s="16">
        <v>44986</v>
      </c>
      <c r="M4" s="46"/>
    </row>
    <row r="5" spans="1:13" x14ac:dyDescent="0.3">
      <c r="A5" t="s">
        <v>96</v>
      </c>
      <c r="B5" t="s">
        <v>101</v>
      </c>
      <c r="C5" s="42">
        <v>6072</v>
      </c>
      <c r="D5" s="40">
        <v>168806052.03999999</v>
      </c>
      <c r="E5" s="42">
        <v>66</v>
      </c>
      <c r="F5" s="37">
        <v>2292926.7599999998</v>
      </c>
      <c r="G5" s="40">
        <f t="shared" si="0"/>
        <v>8440302.602</v>
      </c>
      <c r="H5" s="40">
        <f t="shared" si="1"/>
        <v>45858.535199999998</v>
      </c>
      <c r="I5" s="40">
        <f t="shared" si="2"/>
        <v>8486161.1371999998</v>
      </c>
      <c r="L5" s="16">
        <v>44986</v>
      </c>
      <c r="M5" s="46"/>
    </row>
    <row r="6" spans="1:13" x14ac:dyDescent="0.3">
      <c r="A6" t="s">
        <v>96</v>
      </c>
      <c r="B6" t="s">
        <v>102</v>
      </c>
      <c r="C6" s="42">
        <v>7907</v>
      </c>
      <c r="D6" s="40">
        <v>244688206.52000001</v>
      </c>
      <c r="E6" s="42">
        <v>19</v>
      </c>
      <c r="F6" s="37">
        <v>396551.15</v>
      </c>
      <c r="G6" s="40">
        <f t="shared" si="0"/>
        <v>12234410.326000001</v>
      </c>
      <c r="H6" s="40">
        <f t="shared" si="1"/>
        <v>7931.023000000001</v>
      </c>
      <c r="I6" s="40">
        <f t="shared" si="2"/>
        <v>12242341.349000001</v>
      </c>
      <c r="L6" s="16">
        <v>44986</v>
      </c>
      <c r="M6" s="46"/>
    </row>
    <row r="7" spans="1:13" x14ac:dyDescent="0.3">
      <c r="A7" t="s">
        <v>96</v>
      </c>
      <c r="B7" t="s">
        <v>103</v>
      </c>
      <c r="C7" s="42">
        <v>7079</v>
      </c>
      <c r="D7" s="40">
        <v>206884594.59</v>
      </c>
      <c r="E7" s="42">
        <v>28</v>
      </c>
      <c r="F7" s="37">
        <v>1148209.18</v>
      </c>
      <c r="G7" s="40">
        <f>D7*5%-750613</f>
        <v>9593616.7295000013</v>
      </c>
      <c r="H7" s="40">
        <f t="shared" si="1"/>
        <v>22964.1836</v>
      </c>
      <c r="I7" s="40">
        <f t="shared" si="2"/>
        <v>9616580.9131000005</v>
      </c>
      <c r="L7" s="16">
        <v>44986</v>
      </c>
      <c r="M7" s="46"/>
    </row>
    <row r="8" spans="1:13" x14ac:dyDescent="0.3">
      <c r="A8" t="s">
        <v>96</v>
      </c>
      <c r="B8" t="s">
        <v>104</v>
      </c>
      <c r="C8" s="42">
        <v>4597</v>
      </c>
      <c r="D8" s="40">
        <v>179753055.78</v>
      </c>
      <c r="E8" s="42">
        <v>24</v>
      </c>
      <c r="F8" s="37">
        <v>932156.26</v>
      </c>
      <c r="G8" s="40">
        <f t="shared" ref="G8" si="3">D8*5%</f>
        <v>8987652.7890000008</v>
      </c>
      <c r="H8" s="40">
        <f t="shared" ref="H8" si="4">F8*2%</f>
        <v>18643.125200000002</v>
      </c>
      <c r="I8" s="40">
        <f t="shared" si="2"/>
        <v>9006295.9142000005</v>
      </c>
      <c r="L8" s="16">
        <v>44986</v>
      </c>
      <c r="M8" s="44">
        <v>44927</v>
      </c>
    </row>
    <row r="9" spans="1:13" x14ac:dyDescent="0.3">
      <c r="A9" t="s">
        <v>96</v>
      </c>
      <c r="B9" t="s">
        <v>105</v>
      </c>
      <c r="C9" s="42">
        <v>4505</v>
      </c>
      <c r="D9" s="40">
        <v>105896265.9423534</v>
      </c>
      <c r="E9" s="42">
        <v>35</v>
      </c>
      <c r="F9" s="37">
        <v>1071976.0175641431</v>
      </c>
      <c r="G9" s="40">
        <f t="shared" ref="G9" si="5">D9*5%</f>
        <v>5294813.2971176701</v>
      </c>
      <c r="H9" s="40">
        <f t="shared" ref="H9" si="6">F9*2%</f>
        <v>21439.520351282863</v>
      </c>
      <c r="I9" s="40">
        <f t="shared" ref="I9" si="7">SUM(G9:H9)</f>
        <v>5316252.8174689533</v>
      </c>
      <c r="M9" s="44">
        <v>44958</v>
      </c>
    </row>
    <row r="10" spans="1:13" x14ac:dyDescent="0.3">
      <c r="A10" t="s">
        <v>96</v>
      </c>
      <c r="B10" t="s">
        <v>106</v>
      </c>
      <c r="C10" s="42">
        <v>6247</v>
      </c>
      <c r="D10" s="40">
        <v>151894824.73848227</v>
      </c>
      <c r="E10" s="42">
        <v>61</v>
      </c>
      <c r="F10" s="37">
        <v>1655726.2151303769</v>
      </c>
      <c r="G10" s="40">
        <f t="shared" ref="G10" si="8">D10*5%</f>
        <v>7594741.2369241137</v>
      </c>
      <c r="H10" s="40">
        <f t="shared" ref="H10" si="9">F10*2%</f>
        <v>33114.52430260754</v>
      </c>
      <c r="I10" s="40">
        <f t="shared" si="2"/>
        <v>7627855.7612267211</v>
      </c>
      <c r="M10" s="44">
        <v>44986</v>
      </c>
    </row>
    <row r="11" spans="1:13" x14ac:dyDescent="0.3">
      <c r="A11" t="s">
        <v>96</v>
      </c>
      <c r="B11" t="s">
        <v>107</v>
      </c>
      <c r="C11" s="42">
        <v>7827</v>
      </c>
      <c r="D11" s="40">
        <v>158860611.47927088</v>
      </c>
      <c r="E11" s="42">
        <v>93</v>
      </c>
      <c r="F11" s="37">
        <v>1655644.1376521995</v>
      </c>
      <c r="G11" s="40">
        <f t="shared" ref="G11" si="10">D11*5%</f>
        <v>7943030.5739635443</v>
      </c>
      <c r="H11" s="40">
        <f t="shared" ref="H11" si="11">F11*2%</f>
        <v>33112.882753043988</v>
      </c>
      <c r="I11" s="40">
        <f t="shared" ref="I11" si="12">SUM(G11:H11)</f>
        <v>7976143.4567165887</v>
      </c>
      <c r="M11" s="44">
        <v>45017</v>
      </c>
    </row>
    <row r="12" spans="1:13" x14ac:dyDescent="0.3">
      <c r="A12" t="s">
        <v>96</v>
      </c>
      <c r="B12" t="s">
        <v>108</v>
      </c>
      <c r="C12" s="42">
        <v>7400</v>
      </c>
      <c r="D12" s="40">
        <v>162533074.77266443</v>
      </c>
      <c r="E12" s="42">
        <v>68</v>
      </c>
      <c r="F12" s="37">
        <v>1209061.1755867591</v>
      </c>
      <c r="G12" s="40">
        <f t="shared" ref="G12" si="13">D12*5%</f>
        <v>8126653.7386332219</v>
      </c>
      <c r="H12" s="40">
        <f t="shared" ref="H12" si="14">F12*2%</f>
        <v>24181.223511735181</v>
      </c>
      <c r="I12" s="40">
        <f t="shared" si="2"/>
        <v>8150834.9621449569</v>
      </c>
      <c r="M12" s="44">
        <v>45047</v>
      </c>
    </row>
    <row r="13" spans="1:13" x14ac:dyDescent="0.3">
      <c r="A13" t="s">
        <v>96</v>
      </c>
      <c r="B13" t="s">
        <v>109</v>
      </c>
      <c r="C13" s="42">
        <v>6650</v>
      </c>
      <c r="D13" s="40">
        <v>123938324.53701937</v>
      </c>
      <c r="E13" s="42">
        <v>24</v>
      </c>
      <c r="F13" s="37">
        <v>294032.68871734099</v>
      </c>
      <c r="G13" s="40">
        <f t="shared" ref="G13" si="15">D13*5%</f>
        <v>6196916.2268509688</v>
      </c>
      <c r="H13" s="40">
        <f t="shared" ref="H13" si="16">F13*2%</f>
        <v>5880.6537743468198</v>
      </c>
      <c r="I13" s="40">
        <f t="shared" ref="I13" si="17">SUM(G13:H13)</f>
        <v>6202796.8806253159</v>
      </c>
      <c r="L13" s="16">
        <v>45117</v>
      </c>
      <c r="M13" s="44">
        <v>45078</v>
      </c>
    </row>
    <row r="14" spans="1:13" x14ac:dyDescent="0.3">
      <c r="A14" t="s">
        <v>96</v>
      </c>
      <c r="B14" t="s">
        <v>110</v>
      </c>
      <c r="I14" s="40">
        <f t="shared" si="2"/>
        <v>0</v>
      </c>
    </row>
    <row r="17" spans="1:9" s="2" customFormat="1" x14ac:dyDescent="0.3">
      <c r="A17" s="2" t="s">
        <v>111</v>
      </c>
      <c r="B17" s="2">
        <v>1</v>
      </c>
      <c r="C17" s="41">
        <f>SUM(C2:C16)</f>
        <v>69847</v>
      </c>
      <c r="D17" s="39">
        <f>SUM(D2:D16)</f>
        <v>2077586140.4897904</v>
      </c>
      <c r="E17" s="41">
        <f>SUM(E2:E16)</f>
        <v>541</v>
      </c>
      <c r="F17" s="38">
        <f t="shared" ref="F17:H17" si="18">SUM(F2:F16)</f>
        <v>14794040.004650822</v>
      </c>
      <c r="G17" s="39">
        <f t="shared" si="18"/>
        <v>103128694.02448951</v>
      </c>
      <c r="H17" s="39">
        <f t="shared" si="18"/>
        <v>295880.80009301647</v>
      </c>
      <c r="I17" s="39">
        <f t="shared" ref="I17" si="19">SUM(G17:H17)</f>
        <v>103424574.82458252</v>
      </c>
    </row>
    <row r="18" spans="1:9" x14ac:dyDescent="0.3">
      <c r="A18" s="2" t="s">
        <v>112</v>
      </c>
      <c r="B18" s="2">
        <v>130</v>
      </c>
      <c r="C18" s="41"/>
      <c r="D18" s="39">
        <f>D17/$B$18</f>
        <v>15981431.849921465</v>
      </c>
      <c r="E18" s="41"/>
      <c r="F18" s="38">
        <f>F17/$B$18</f>
        <v>113800.30772808325</v>
      </c>
      <c r="G18" s="39">
        <f>G17/$B$18</f>
        <v>793297.646342227</v>
      </c>
      <c r="H18" s="39">
        <f>H17/$B$18</f>
        <v>2276.006154561665</v>
      </c>
      <c r="I18" s="39">
        <f>I17/$B$18</f>
        <v>795573.65249678865</v>
      </c>
    </row>
    <row r="20" spans="1:9" x14ac:dyDescent="0.3">
      <c r="A20" t="s">
        <v>113</v>
      </c>
      <c r="D20" s="40">
        <v>1132312333.03</v>
      </c>
    </row>
    <row r="21" spans="1:9" x14ac:dyDescent="0.3">
      <c r="A21" t="s">
        <v>114</v>
      </c>
      <c r="D21" s="43">
        <f>D20/D17</f>
        <v>0.54501342253036866</v>
      </c>
    </row>
  </sheetData>
  <hyperlinks>
    <hyperlink ref="M2" r:id="rId1" xr:uid="{12D49ECA-3C4B-4BEA-B299-E5A8F19CCF5F}"/>
    <hyperlink ref="M8" r:id="rId2" display="Jan 2023" xr:uid="{E585C7E2-58DA-415A-8020-FE2E21741EB8}"/>
    <hyperlink ref="M9" r:id="rId3" display="Feb 2023" xr:uid="{B5BC6187-A587-47FB-B142-9B4F93775068}"/>
    <hyperlink ref="M10" r:id="rId4" display="Mar 2023" xr:uid="{2833F54C-E3A3-48B4-A358-5B91CA641F01}"/>
    <hyperlink ref="M11" r:id="rId5" display="Apr 2023" xr:uid="{7F1E218F-A0CB-400E-A5C9-9F6F57BF66B6}"/>
    <hyperlink ref="M12" r:id="rId6" display="May 2023" xr:uid="{F059E36A-D401-470B-A880-4A412B81B5BF}"/>
    <hyperlink ref="M13" r:id="rId7" display="June 2023" xr:uid="{2F67C4D1-B207-4B53-B329-AD7E05CF3C54}"/>
  </hyperlinks>
  <pageMargins left="0.7" right="0.7" top="0.75" bottom="0.75" header="0.3" footer="0.3"/>
  <pageSetup paperSize="0" orientation="portrait"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5D35-75B4-415E-9B90-7C9552BD0E9F}">
  <dimension ref="A1:G2"/>
  <sheetViews>
    <sheetView workbookViewId="0">
      <selection activeCell="C4" sqref="C4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18" bestFit="1" customWidth="1"/>
    <col min="4" max="4" width="19.88671875" bestFit="1" customWidth="1"/>
    <col min="5" max="5" width="17" customWidth="1"/>
    <col min="6" max="6" width="14" customWidth="1"/>
    <col min="7" max="7" width="21" bestFit="1" customWidth="1"/>
  </cols>
  <sheetData>
    <row r="1" spans="1:7" s="2" customFormat="1" x14ac:dyDescent="0.3">
      <c r="A1" s="2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52</v>
      </c>
      <c r="G1" s="2" t="s">
        <v>119</v>
      </c>
    </row>
    <row r="2" spans="1:7" x14ac:dyDescent="0.3">
      <c r="A2">
        <v>1</v>
      </c>
      <c r="B2" t="s">
        <v>120</v>
      </c>
      <c r="C2" t="s">
        <v>121</v>
      </c>
      <c r="D2" t="s">
        <v>122</v>
      </c>
      <c r="E2" s="16">
        <v>65713</v>
      </c>
      <c r="F2" s="16">
        <v>65815</v>
      </c>
      <c r="G2" s="18" t="s">
        <v>123</v>
      </c>
    </row>
  </sheetData>
  <hyperlinks>
    <hyperlink ref="G2" r:id="rId1" xr:uid="{A54F4363-05C8-4E90-BF06-8B3FEB9BA8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33B8-2EA6-4161-9AA2-74AFF800F284}">
  <dimension ref="A1:K12"/>
  <sheetViews>
    <sheetView workbookViewId="0">
      <selection activeCell="E2" sqref="E2"/>
    </sheetView>
  </sheetViews>
  <sheetFormatPr defaultRowHeight="14.4" x14ac:dyDescent="0.3"/>
  <cols>
    <col min="1" max="1" width="9.109375" style="10"/>
    <col min="2" max="2" width="32.5546875" customWidth="1"/>
    <col min="3" max="3" width="24.44140625" style="10" customWidth="1"/>
    <col min="4" max="4" width="12.109375" style="10" customWidth="1"/>
    <col min="5" max="5" width="18.6640625" style="28" customWidth="1"/>
    <col min="6" max="6" width="15.88671875" style="9" customWidth="1"/>
    <col min="7" max="7" width="12.33203125" style="10" customWidth="1"/>
    <col min="8" max="8" width="16.109375" style="4" customWidth="1"/>
    <col min="9" max="9" width="12.88671875" style="10" customWidth="1"/>
    <col min="10" max="10" width="25.5546875" style="9" customWidth="1"/>
    <col min="11" max="11" width="23.33203125" style="9" customWidth="1"/>
  </cols>
  <sheetData>
    <row r="1" spans="1:11" s="35" customFormat="1" x14ac:dyDescent="0.3">
      <c r="A1" s="29" t="s">
        <v>32</v>
      </c>
      <c r="B1" s="30" t="s">
        <v>139</v>
      </c>
      <c r="C1" s="31" t="s">
        <v>140</v>
      </c>
      <c r="D1" s="31" t="s">
        <v>141</v>
      </c>
      <c r="E1" s="32" t="s">
        <v>142</v>
      </c>
      <c r="F1" s="33" t="s">
        <v>143</v>
      </c>
      <c r="G1" s="31" t="s">
        <v>144</v>
      </c>
      <c r="H1" s="34" t="s">
        <v>145</v>
      </c>
      <c r="I1" s="31" t="s">
        <v>146</v>
      </c>
      <c r="J1" s="33" t="s">
        <v>147</v>
      </c>
      <c r="K1" s="33" t="s">
        <v>147</v>
      </c>
    </row>
    <row r="2" spans="1:11" x14ac:dyDescent="0.3">
      <c r="A2" s="23">
        <v>1</v>
      </c>
      <c r="B2" s="21" t="s">
        <v>148</v>
      </c>
      <c r="C2" s="24" t="s">
        <v>149</v>
      </c>
      <c r="D2" s="24" t="s">
        <v>150</v>
      </c>
      <c r="E2" s="27" t="s">
        <v>151</v>
      </c>
      <c r="F2" s="25" t="s">
        <v>152</v>
      </c>
      <c r="G2" s="24" t="s">
        <v>68</v>
      </c>
      <c r="H2" s="22">
        <v>50000</v>
      </c>
      <c r="I2" s="24" t="s">
        <v>153</v>
      </c>
      <c r="J2" s="25" t="s">
        <v>154</v>
      </c>
      <c r="K2" s="26" t="s">
        <v>155</v>
      </c>
    </row>
    <row r="3" spans="1:11" x14ac:dyDescent="0.3">
      <c r="A3" s="23">
        <v>2</v>
      </c>
      <c r="B3" s="21" t="s">
        <v>148</v>
      </c>
      <c r="C3" s="24" t="s">
        <v>156</v>
      </c>
      <c r="D3" s="24" t="s">
        <v>150</v>
      </c>
      <c r="E3" s="27" t="s">
        <v>31</v>
      </c>
      <c r="F3" s="25" t="s">
        <v>31</v>
      </c>
      <c r="G3" s="24" t="s">
        <v>68</v>
      </c>
      <c r="H3" s="22">
        <v>50000</v>
      </c>
      <c r="I3" s="24" t="s">
        <v>153</v>
      </c>
      <c r="J3" s="25" t="s">
        <v>31</v>
      </c>
      <c r="K3" s="26" t="s">
        <v>31</v>
      </c>
    </row>
    <row r="4" spans="1:11" x14ac:dyDescent="0.3">
      <c r="A4" s="23">
        <v>3</v>
      </c>
      <c r="B4" s="21" t="s">
        <v>157</v>
      </c>
      <c r="C4" s="24" t="s">
        <v>149</v>
      </c>
      <c r="D4" s="24" t="s">
        <v>150</v>
      </c>
      <c r="E4" s="27" t="s">
        <v>158</v>
      </c>
      <c r="F4" s="25" t="s">
        <v>159</v>
      </c>
      <c r="G4" s="24" t="s">
        <v>68</v>
      </c>
      <c r="H4" s="22">
        <v>500000</v>
      </c>
      <c r="I4" s="24" t="s">
        <v>153</v>
      </c>
      <c r="J4" s="25" t="s">
        <v>159</v>
      </c>
      <c r="K4" s="26" t="s">
        <v>160</v>
      </c>
    </row>
    <row r="5" spans="1:11" x14ac:dyDescent="0.3">
      <c r="A5" s="23">
        <v>4</v>
      </c>
      <c r="B5" s="21" t="s">
        <v>161</v>
      </c>
      <c r="C5" s="24" t="s">
        <v>149</v>
      </c>
      <c r="D5" s="24" t="s">
        <v>150</v>
      </c>
      <c r="E5" s="27" t="s">
        <v>162</v>
      </c>
      <c r="F5" s="25" t="s">
        <v>163</v>
      </c>
      <c r="G5" s="24" t="s">
        <v>69</v>
      </c>
      <c r="H5" s="22">
        <v>50000</v>
      </c>
      <c r="I5" s="24" t="s">
        <v>153</v>
      </c>
      <c r="J5" s="25" t="s">
        <v>164</v>
      </c>
      <c r="K5" s="26" t="s">
        <v>164</v>
      </c>
    </row>
    <row r="6" spans="1:11" x14ac:dyDescent="0.3">
      <c r="A6" s="23">
        <v>5</v>
      </c>
      <c r="B6" s="21" t="s">
        <v>165</v>
      </c>
      <c r="C6" s="24" t="s">
        <v>149</v>
      </c>
      <c r="D6" s="24" t="s">
        <v>166</v>
      </c>
      <c r="E6" s="27" t="s">
        <v>167</v>
      </c>
      <c r="F6" s="25" t="s">
        <v>168</v>
      </c>
      <c r="G6" s="24" t="s">
        <v>69</v>
      </c>
      <c r="H6" s="22">
        <v>350000</v>
      </c>
      <c r="I6" s="24" t="s">
        <v>133</v>
      </c>
      <c r="J6" s="25" t="s">
        <v>169</v>
      </c>
      <c r="K6" s="26" t="s">
        <v>170</v>
      </c>
    </row>
    <row r="7" spans="1:11" x14ac:dyDescent="0.3">
      <c r="A7" s="23">
        <v>6</v>
      </c>
      <c r="B7" s="21" t="s">
        <v>165</v>
      </c>
      <c r="C7" s="24" t="s">
        <v>149</v>
      </c>
      <c r="D7" s="24" t="s">
        <v>166</v>
      </c>
      <c r="E7" s="27" t="s">
        <v>171</v>
      </c>
      <c r="F7" s="25" t="s">
        <v>172</v>
      </c>
      <c r="G7" s="24" t="s">
        <v>69</v>
      </c>
      <c r="H7" s="22">
        <v>150000</v>
      </c>
      <c r="I7" s="24" t="s">
        <v>133</v>
      </c>
      <c r="J7" s="25" t="s">
        <v>173</v>
      </c>
      <c r="K7" s="26" t="s">
        <v>173</v>
      </c>
    </row>
    <row r="8" spans="1:11" x14ac:dyDescent="0.3">
      <c r="A8" s="23">
        <v>7</v>
      </c>
      <c r="B8" s="21" t="s">
        <v>174</v>
      </c>
      <c r="C8" s="24" t="s">
        <v>149</v>
      </c>
      <c r="D8" s="24" t="s">
        <v>166</v>
      </c>
      <c r="E8" s="27" t="s">
        <v>175</v>
      </c>
      <c r="F8" s="25" t="s">
        <v>176</v>
      </c>
      <c r="G8" s="24" t="s">
        <v>69</v>
      </c>
      <c r="H8" s="22">
        <v>80000</v>
      </c>
      <c r="I8" s="24" t="s">
        <v>133</v>
      </c>
      <c r="J8" s="25" t="s">
        <v>177</v>
      </c>
      <c r="K8" s="26" t="s">
        <v>178</v>
      </c>
    </row>
    <row r="9" spans="1:11" x14ac:dyDescent="0.3">
      <c r="A9" s="23">
        <v>8</v>
      </c>
      <c r="B9" s="21" t="s">
        <v>179</v>
      </c>
      <c r="C9" s="24" t="s">
        <v>149</v>
      </c>
      <c r="D9" s="24" t="s">
        <v>166</v>
      </c>
      <c r="E9" s="27" t="s">
        <v>180</v>
      </c>
      <c r="F9" s="25" t="s">
        <v>181</v>
      </c>
      <c r="G9" s="24" t="s">
        <v>69</v>
      </c>
      <c r="H9" s="22">
        <v>500000</v>
      </c>
      <c r="I9" s="24" t="s">
        <v>133</v>
      </c>
      <c r="J9" s="25" t="s">
        <v>182</v>
      </c>
      <c r="K9" s="26" t="s">
        <v>183</v>
      </c>
    </row>
    <row r="10" spans="1:11" x14ac:dyDescent="0.3">
      <c r="A10" s="23">
        <v>9</v>
      </c>
      <c r="B10" s="21" t="s">
        <v>184</v>
      </c>
      <c r="C10" s="24" t="s">
        <v>149</v>
      </c>
      <c r="D10" s="24" t="s">
        <v>150</v>
      </c>
      <c r="E10" s="27" t="s">
        <v>185</v>
      </c>
      <c r="F10" s="25" t="s">
        <v>152</v>
      </c>
      <c r="G10" s="24" t="s">
        <v>68</v>
      </c>
      <c r="H10" s="22">
        <v>3000000</v>
      </c>
      <c r="I10" s="24" t="s">
        <v>153</v>
      </c>
      <c r="J10" s="25" t="s">
        <v>159</v>
      </c>
      <c r="K10" s="26" t="s">
        <v>186</v>
      </c>
    </row>
    <row r="11" spans="1:11" x14ac:dyDescent="0.3">
      <c r="A11" s="23">
        <v>10</v>
      </c>
      <c r="B11" s="21" t="s">
        <v>184</v>
      </c>
      <c r="C11" s="24" t="s">
        <v>187</v>
      </c>
      <c r="D11" s="24" t="s">
        <v>150</v>
      </c>
      <c r="E11" s="27" t="s">
        <v>188</v>
      </c>
      <c r="F11" s="25" t="s">
        <v>189</v>
      </c>
      <c r="G11" s="24" t="s">
        <v>68</v>
      </c>
      <c r="H11" s="22">
        <v>15120000</v>
      </c>
      <c r="I11" s="24" t="s">
        <v>153</v>
      </c>
      <c r="J11" s="25" t="s">
        <v>190</v>
      </c>
      <c r="K11" s="26" t="s">
        <v>190</v>
      </c>
    </row>
    <row r="12" spans="1:11" x14ac:dyDescent="0.3">
      <c r="A12" s="23">
        <v>11</v>
      </c>
      <c r="B12" s="21" t="s">
        <v>184</v>
      </c>
      <c r="C12" s="24" t="s">
        <v>156</v>
      </c>
      <c r="D12" s="24" t="s">
        <v>150</v>
      </c>
      <c r="E12" s="27" t="s">
        <v>191</v>
      </c>
      <c r="F12" s="25" t="s">
        <v>192</v>
      </c>
      <c r="G12" s="24" t="s">
        <v>69</v>
      </c>
      <c r="H12" s="22">
        <v>45984</v>
      </c>
      <c r="I12" s="24" t="s">
        <v>153</v>
      </c>
      <c r="J12" s="25" t="s">
        <v>193</v>
      </c>
      <c r="K12" s="26" t="s">
        <v>193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0.0 Master</vt:lpstr>
      <vt:lpstr>GSA Agreement &amp; Validity</vt:lpstr>
      <vt:lpstr>Reminder</vt:lpstr>
      <vt:lpstr>Bank Guarantee Received</vt:lpstr>
      <vt:lpstr>Issued Bank Guarantee</vt:lpstr>
      <vt:lpstr>HBL Non Funded Limit </vt:lpstr>
      <vt:lpstr>MBL Non Funded Limit</vt:lpstr>
      <vt:lpstr>Jazeera Turnover Tax</vt:lpstr>
      <vt:lpstr>Registration and Renewal</vt:lpstr>
      <vt:lpstr>BG Report_Dipendra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Upaj Manandhar</cp:lastModifiedBy>
  <cp:revision/>
  <dcterms:created xsi:type="dcterms:W3CDTF">2023-02-22T10:59:17Z</dcterms:created>
  <dcterms:modified xsi:type="dcterms:W3CDTF">2024-11-06T11:44:24Z</dcterms:modified>
  <cp:category/>
  <cp:contentStatus/>
</cp:coreProperties>
</file>