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50" windowHeight="12280" activeTab="1"/>
  </bookViews>
  <sheets>
    <sheet name="SUM" sheetId="8" r:id="rId1"/>
    <sheet name="MOD" sheetId="4" r:id="rId2"/>
    <sheet name="INDUSTRY MODEL" sheetId="5" r:id="rId3"/>
    <sheet name="REVERSE DCF" sheetId="6" r:id="rId4"/>
    <sheet name="CASES" sheetId="7" r:id="rId5"/>
    <sheet name="VALUATION" sheetId="9" r:id="rId6"/>
    <sheet name="BIZ MOD" sheetId="10" r:id="rId7"/>
    <sheet name="FS Modelling(Q)" sheetId="3" state="hidden" r:id="rId8"/>
  </sheets>
  <calcPr calcId="191029" concurrentManualCount="4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tc={945E66CC-FD15-4629-A0CE-17E4FFC401A1}</author>
    <author>tc={5150FE3F-E3B1-43EE-97CC-A985E1FE36B5}</author>
    <author>tc={F55FB844-9BA4-4735-ADF8-2E5F304FFFEC}</author>
    <author>tc={78DB998A-3D81-4422-BF2B-A4B42A47388E}</author>
  </authors>
  <commentList>
    <comment ref="C14" authorId="0">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股价和企业价值区块（Cap Table）
股价（£0.68） × 股数（5,183m）= 市值约 £3.52B
加上净负债（£5.04B）得出 企业价值 EV ≈ £8.56B
🧠 意思是：市场现在相当于用 £8.56B 的企业价值来“买”这家公司未来的所有自由现金流（FCF）。
</t>
        </r>
      </text>
    </comment>
    <comment ref="R29" authorId="1">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3年是最平衡的观察窗口：既不会太短（受极端短期波动影响），也不会太长（包含过时历史） </t>
        </r>
      </text>
    </comment>
    <comment ref="S29" authorId="2">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5年可以看成是长期上行空间的平均 如果市场情绪变好，回到过去5年合理估值区间 </t>
        </r>
      </text>
    </comment>
    <comment ref="T29" authorId="3">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1年反映了最现实的低估值反应区间，用于表达下行风险保护 JD 和市场的关系如果维持，P/E 最低合理值是这个数 </t>
        </r>
      </text>
    </comment>
  </commentList>
</comments>
</file>

<file path=xl/comments2.xml><?xml version="1.0" encoding="utf-8"?>
<comments xmlns="http://schemas.openxmlformats.org/spreadsheetml/2006/main">
  <authors>
    <author>tc={2ECBF878-19C6-45B2-BDEA-EA3E4CAC771B}</author>
    <author>tc={4D9D0CE5-6ABD-4BFE-87A1-88EFAADFC09B}</author>
    <author>tc={28B8EAAE-C3E0-4824-8CE0-D3FC0A3A8BA5}</author>
    <author>tc={83DB14FD-2572-4F01-9408-8CE542F6B7EF}</author>
    <author>tc={B136A443-8BCD-4C2D-845A-30891E94F8B4}</author>
    <author>tc={94FD569D-DA77-49BB-B421-AE5F3A8965A6}</author>
    <author>tc={B3E525DB-F738-4E31-A4F6-6850F53EEA97}</author>
    <author>tc={52E7FBAD-0436-4E57-A74F-918B564AC047}</author>
  </authors>
  <commentList>
    <comment ref="C71" authorId="0">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Other relates to revenue from leisure club memberships, wholesale and commission sales. </t>
        </r>
      </text>
    </comment>
    <comment ref="C81" authorId="1">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门店在集团内部不同品牌、地区或子业务之间的转移，但不影响整体门店总数。 </t>
        </r>
      </text>
    </comment>
    <comment ref="AA102" authorId="2">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Opened over 200 new JD stores; plan for over 200 new JD stores in FY25 </t>
        </r>
      </text>
    </comment>
    <comment ref="C107" authorId="3">
      <text>
        <r>
          <rPr>
            <sz val="10"/>
            <rFont val="宋体"/>
            <charset val="134"/>
          </rPr>
          <t>[线程批注]
你的Excel版本可读取此线程批注; 但如果在更新版本的Excel中打开文件，则对批注所作的任何改动都将被删除。了解详细信息: https://go.microsoft.com/fwlink/?linkid=870924
注释:
    现有门店扩建</t>
        </r>
      </text>
    </comment>
    <comment ref="AA158" authorId="4">
      <text>
        <r>
          <rPr>
            <sz val="10"/>
            <rFont val="宋体"/>
            <charset val="134"/>
          </rPr>
          <t>[线程批注]
你的Excel版本可读取此线程批注; 但如果在更新版本的Excel中打开文件，则对批注所作的任何改动都将被删除。了解详细信息: https://go.microsoft.com/fwlink/?linkid=870924
注释:
    大幅开店毛利承压</t>
        </r>
      </text>
    </comment>
    <comment ref="G237" authorId="5">
      <text>
        <r>
          <rPr>
            <sz val="10"/>
            <rFont val="宋体"/>
            <charset val="134"/>
          </rPr>
          <t>[线程批注]
你的Excel版本可读取此线程批注; 但如果在更新版本的Excel中打开文件，则对批注所作的任何改动都将被删除。了解详细信息: https://go.microsoft.com/fwlink/?linkid=870924
注释:
    拆股 1 拆5</t>
        </r>
      </text>
    </comment>
    <comment ref="K237" authorId="6">
      <text>
        <r>
          <rPr>
            <sz val="10"/>
            <rFont val="宋体"/>
            <charset val="134"/>
          </rPr>
          <t>[线程批注]
你的Excel版本可读取此线程批注; 但如果在更新版本的Excel中打开文件，则对批注所作的任何改动都将被删除。了解详细信息: https://go.microsoft.com/fwlink/?linkid=870924
注释:
    完成对公司资本的新普通股配售。共发行58393989股新普通股，使已发行普通股总数增至1031627149股。这些股票的发行价格为每股795便士，面值为25便士，导致股本为10万英镑，发行时确认的股份溢价为4.558亿英镑（扣除830万英镑的成本）。
根据2021年11月30日的普通决议，发生了股份分割，每股普通股发行五股普通股。根据国际会计准则第33号，事件发生前已发行股份的数量已根据比例变化进行了调整，就像事件发生在最早报告期的开始一样。
截至2022年1月29日，每股普通股基本收益的计算基于该期间归属于母公司权益持有人的利润3.697亿英镑（2021年：2.243亿英镑）和截至2022年01月29日的52周期间已发行普通股的加权平均数5158135745股（2021年∶重述4866165800股）。调整后的每股普通股收益基于每个财政期间归属于母公司股权持有人的利润，但不包括某些特殊项目的税后影响。</t>
        </r>
      </text>
    </comment>
    <comment ref="AA263" authorId="7">
      <text>
        <r>
          <rPr>
            <sz val="10"/>
            <rFont val="宋体"/>
            <charset val="134"/>
          </rPr>
          <t>[线程批注]
你的Excel版本可读取此线程批注; 但如果在更新版本的Excel中打开文件，则对批注所作的任何改动都将被删除。了解详细信息: https://go.microsoft.com/fwlink/?linkid=870924
注释:
    整体开店基本平稳，对应租赁资产相对平稳</t>
        </r>
      </text>
    </comment>
  </commentList>
</comments>
</file>

<file path=xl/comments3.xml><?xml version="1.0" encoding="utf-8"?>
<comments xmlns="http://schemas.openxmlformats.org/spreadsheetml/2006/main">
  <authors>
    <author>tc={4A032485-ABE0-4373-84FD-00D57E5F9B67}</author>
    <author>tc={B873A494-5204-4357-8684-98994C19BC6D}</author>
    <author>tc={D24F8902-047A-4645-A904-98B01DB432EB}</author>
  </authors>
  <commentList>
    <comment ref="X10"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单店营收*新开数量/总营收=门店给营收带来的增量</t>
        </r>
      </text>
    </comment>
    <comment ref="Y17" authorId="1">
      <text>
        <r>
          <rPr>
            <sz val="10"/>
            <rFont val="宋体"/>
            <charset val="134"/>
          </rPr>
          <t>[线程批注]
你的Excel版本可读取此线程批注; 但如果在更新版本的Excel中打开文件，则对批注所作的任何改动都将被删除。了解详细信息: https://go.microsoft.com/fwlink/?linkid=870924
注释:
    Courir（法国）并购状态：已签协议，仍在等待欧盟委员会审查。门店数：300家，覆盖6个欧洲国家。价值：未披露，但属于较大交易。
Hibbett, Inc.（美国）并购状态：拟并购，交易金额£899 million。门店数：1,169家，主要在美国东南部，品牌为Hibbett和City Gear。目标：增强北美布局、社区零售补充JD品牌。完成时间：预计在2024年下半年完成。
只计入Hibbett</t>
        </r>
      </text>
    </comment>
    <comment ref="B25" authorId="2">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Sportswear sales, gross of sales taxes and at constant currency, to align with the basis used by the recognised industry data provider3, as a percentage as a percentage of the global sportswear market value for the nearest annual period obtained from that provider. Judgement is applied by management in determining which businesses are considered sportswear businesses with the Sports Fashion segment. This judgement has been applied consistently across the periods presented. </t>
        </r>
      </text>
    </comment>
  </commentList>
</comments>
</file>

<file path=xl/comments4.xml><?xml version="1.0" encoding="utf-8"?>
<comments xmlns="http://schemas.openxmlformats.org/spreadsheetml/2006/main">
  <authors>
    <author>tc={D235193B-46B0-49BB-B0BC-8C2AC751B4C0}</author>
    <author>tc={ED372C10-5350-481E-BECE-FFBD0F956C45}</author>
    <author>tc={E6C35651-BC03-4847-BAB1-5046EF14F609}</author>
    <author>tc={4172D861-268F-4FC5-8B88-D332914E2DD3}</author>
  </authors>
  <commentList>
    <comment ref="AL13" authorId="0">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股价和企业价值区块（Cap Table）
股价（£0.68） × 股数（5,183m）= 市值约 £3.52B
加上净负债（£5.04B）得出 企业价值 EV ≈ £8.56B
🧠 意思是：市场现在相当于用 £8.56B 的企业价值来“买”这家公司未来的所有自由现金流（FCF）。
</t>
        </r>
      </text>
    </comment>
    <comment ref="AL23" authorId="1">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WACC 和贴现率设置
WACC（加权平均资本成本）= 8.9%
你的资本结构是 60% 权益 + 40% 债务
用于把未来的现金流折算回今天的价值
🧠 意思是：你对这家公司未来现金流的“时间价值”评估是每年 8.9% 的贴现。
</t>
        </r>
      </text>
    </comment>
    <comment ref="AK25" authorId="2">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预测现金流和终值（Terminal Value）
你从 FY24 起，预测每年的自由现金流（Unlevered FCF），直到 FY45：
✅ Cash Flow 的贴现结果（PV of FCF）：
未来 22 年预测的 FCF 加起来贴现后是 £6.23B
✅ 终值（TV）：
用的是 EV/EBITDA 退出倍数法（10.5x）
最终贴现后是 £9.79B
占企业价值的 16.6%
🧠 说明：你的估值里 绝大部分价值（83.4%）是来自你预测的现金流，不是幻想一个终值“泡泡”。这说明你估得比较“实”。
</t>
        </r>
      </text>
    </comment>
    <comment ref="AK47" authorId="3">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Implied P/E 和预期差解读
你在两组股价下做了比较：
✅ 你的合理估值：£2.12
对应的 Implied P/E = 15.8x（FY25）/ 17.3x（FY26）
说明这是一个正常估值水平的增长型公司
✅ 市场当前价格：£0.68
对应的 P/E 只有 5.1x（FY25）/ 5.5x（FY26）
大幅低估！
🧠 所以：
市场目前的估值（68p）其实是严重不信这家公司未来能兑现成长。反过来，这种差异也正是你的“alpha 来源”。
</t>
        </r>
      </text>
    </comment>
  </commentList>
</comments>
</file>

<file path=xl/comments5.xml><?xml version="1.0" encoding="utf-8"?>
<comments xmlns="http://schemas.openxmlformats.org/spreadsheetml/2006/main">
  <authors>
    <author>tc={00DFA40D-04D8-4268-BE51-3E14E40257DB}</author>
    <author>tc={E775F75A-0E81-4278-AE8B-F46736560B21}</author>
  </authors>
  <commentList>
    <comment ref="X5"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预测越远，盈利越能“正常化”
假设现在是2024年，短期可能有各种临时因素（库存积压、原材料波动、定价混乱）。
而 2027 年时，公司运营应该回归稳定状态，毛利、销售费用、产能利用率都逐渐“稳定”，这时候的盈利最能代表长期能力。</t>
        </r>
      </text>
    </comment>
    <comment ref="T6" authorId="1">
      <text>
        <r>
          <rPr>
            <sz val="10"/>
            <rFont val="宋体"/>
            <charset val="134"/>
          </rPr>
          <t xml:space="preserve">[线程批注]
你的Excel版本可读取此线程批注; 但如果在更新版本的Excel中打开文件，则对批注所作的任何改动都将被删除。了解详细信息: https://go.microsoft.com/fwlink/?linkid=870924
注释:
    H1 FY25 = 48.2%
去年同期 = 48.4%，微降 20bps
管理层说明主要受到 Q2 成本促销压力和服装类滞销影响，但 Q1 仍维持稳定
📌 所以合理假设 FY25 全年目标是尽量维持在 48% 左右
</t>
        </r>
      </text>
    </comment>
  </commentList>
</comments>
</file>

<file path=xl/sharedStrings.xml><?xml version="1.0" encoding="utf-8"?>
<sst xmlns="http://schemas.openxmlformats.org/spreadsheetml/2006/main" count="1293" uniqueCount="639">
  <si>
    <t>Ticker</t>
  </si>
  <si>
    <t>JD.</t>
  </si>
  <si>
    <t>Action</t>
  </si>
  <si>
    <t>NO POSITION</t>
  </si>
  <si>
    <t>Last Updated</t>
  </si>
  <si>
    <t>01.04.25</t>
  </si>
  <si>
    <t>FY20</t>
  </si>
  <si>
    <t>FY21</t>
  </si>
  <si>
    <t>FY22</t>
  </si>
  <si>
    <t>FY23</t>
  </si>
  <si>
    <t>FY24</t>
  </si>
  <si>
    <t>FY25E</t>
  </si>
  <si>
    <t>FY26E</t>
  </si>
  <si>
    <t>FY27E</t>
  </si>
  <si>
    <t>FY28E</t>
  </si>
  <si>
    <t>FY29E</t>
  </si>
  <si>
    <t>Revenue</t>
  </si>
  <si>
    <t>CAP TABLE</t>
  </si>
  <si>
    <t>% yoy</t>
  </si>
  <si>
    <t>1 year return scenarios</t>
  </si>
  <si>
    <t>Tactical R/R</t>
  </si>
  <si>
    <t>2025E</t>
  </si>
  <si>
    <t>2026E</t>
  </si>
  <si>
    <t>Latest Close</t>
  </si>
  <si>
    <t>Scenarios</t>
  </si>
  <si>
    <t>FY25 EPS</t>
  </si>
  <si>
    <t>P/E</t>
  </si>
  <si>
    <t>12m Target</t>
  </si>
  <si>
    <t>% return</t>
  </si>
  <si>
    <t>Price</t>
  </si>
  <si>
    <t>Reward</t>
  </si>
  <si>
    <t>Risk</t>
  </si>
  <si>
    <t>R/R</t>
  </si>
  <si>
    <t>% move</t>
  </si>
  <si>
    <t>Street</t>
  </si>
  <si>
    <t>FCF Yield</t>
  </si>
  <si>
    <t>Diluted Shares</t>
  </si>
  <si>
    <t>EBITDA</t>
  </si>
  <si>
    <t>Bull</t>
  </si>
  <si>
    <t>Market Cap</t>
  </si>
  <si>
    <t>% margin</t>
  </si>
  <si>
    <t>Base</t>
  </si>
  <si>
    <t>Total Debt</t>
  </si>
  <si>
    <t>Bear</t>
  </si>
  <si>
    <t>Cash</t>
  </si>
  <si>
    <t>Implied EBITDA</t>
  </si>
  <si>
    <t>Reward (25% bull, 75% base)</t>
  </si>
  <si>
    <t>Net Debt</t>
  </si>
  <si>
    <t>Street EBITDA</t>
  </si>
  <si>
    <t>Street EV/EBITDA</t>
  </si>
  <si>
    <t>P/E Ratio Analysis</t>
  </si>
  <si>
    <t>Enterprise Value</t>
  </si>
  <si>
    <t>Absolute P/E</t>
  </si>
  <si>
    <t>Min</t>
  </si>
  <si>
    <t>Max</t>
  </si>
  <si>
    <t>Median</t>
  </si>
  <si>
    <t>FCF</t>
  </si>
  <si>
    <t>1 year</t>
  </si>
  <si>
    <t>Buy Price</t>
  </si>
  <si>
    <t>3 year</t>
  </si>
  <si>
    <t>No-brainer price</t>
  </si>
  <si>
    <t>FCFPS</t>
  </si>
  <si>
    <t>5 year</t>
  </si>
  <si>
    <t>LSEG RELATIVE</t>
  </si>
  <si>
    <t>Normalised FCF</t>
  </si>
  <si>
    <t>EPS</t>
  </si>
  <si>
    <t>FCF/share</t>
  </si>
  <si>
    <t>% yield</t>
  </si>
  <si>
    <t>Street EPS</t>
  </si>
  <si>
    <t>Latest LSEG P/E</t>
  </si>
  <si>
    <t>3 Year Target</t>
  </si>
  <si>
    <t>Expected Delta</t>
  </si>
  <si>
    <t>Implied</t>
  </si>
  <si>
    <t>FY28 EPS</t>
  </si>
  <si>
    <t>Target P/E</t>
  </si>
  <si>
    <t>EV/Sales</t>
  </si>
  <si>
    <t>EV/EBITDA</t>
  </si>
  <si>
    <t>Dummy Valuations Summary</t>
  </si>
  <si>
    <t>x money multiple</t>
  </si>
  <si>
    <t>Current P/E</t>
  </si>
  <si>
    <t>Central</t>
  </si>
  <si>
    <t>Range High</t>
  </si>
  <si>
    <t>Range Low</t>
  </si>
  <si>
    <t>% IRR</t>
  </si>
  <si>
    <t>Street P/E</t>
  </si>
  <si>
    <t>n/a</t>
  </si>
  <si>
    <t>12 Months Base Target</t>
  </si>
  <si>
    <t>FY26 EPS</t>
  </si>
  <si>
    <t>EOY Target Price</t>
  </si>
  <si>
    <t>% Return</t>
  </si>
  <si>
    <t>12 Months Risk Case</t>
  </si>
  <si>
    <t>FY25 Risk EPS</t>
  </si>
  <si>
    <t>Next 12 Months Risk</t>
  </si>
  <si>
    <r>
      <rPr>
        <sz val="14"/>
        <color rgb="FF00B0F0"/>
        <rFont val="Calibri"/>
        <charset val="134"/>
      </rPr>
      <t>*Blue is for the specific,</t>
    </r>
    <r>
      <rPr>
        <sz val="14"/>
        <color rgb="FF00B050"/>
        <rFont val="Calibri"/>
        <charset val="134"/>
      </rPr>
      <t xml:space="preserve"> Green is for the region</t>
    </r>
    <r>
      <rPr>
        <sz val="14"/>
        <color rgb="FF00B0F0"/>
        <rFont val="Calibri"/>
        <charset val="134"/>
      </rPr>
      <t xml:space="preserve">, </t>
    </r>
    <r>
      <rPr>
        <sz val="14"/>
        <color rgb="FF7030A0"/>
        <rFont val="Calibri"/>
        <charset val="134"/>
      </rPr>
      <t>Purple is for the forecasting</t>
    </r>
  </si>
  <si>
    <t>季度推全年，公司不给全年指引</t>
  </si>
  <si>
    <t>JD. Sports</t>
  </si>
  <si>
    <t>Fiscal year ended January</t>
  </si>
  <si>
    <t>FY 15</t>
  </si>
  <si>
    <t>FY 16</t>
  </si>
  <si>
    <t>FY 17</t>
  </si>
  <si>
    <t>FY 18</t>
  </si>
  <si>
    <t>FY 19</t>
  </si>
  <si>
    <t>FY 20</t>
  </si>
  <si>
    <t>FY 21</t>
  </si>
  <si>
    <t>1H 22</t>
  </si>
  <si>
    <t>2H 22</t>
  </si>
  <si>
    <t>FY 22</t>
  </si>
  <si>
    <t>1H 23</t>
  </si>
  <si>
    <t>2H 23</t>
  </si>
  <si>
    <t>FY 23</t>
  </si>
  <si>
    <t>1H 24</t>
  </si>
  <si>
    <t>2H 24</t>
  </si>
  <si>
    <t>1H 25</t>
  </si>
  <si>
    <t>2H 25</t>
  </si>
  <si>
    <t>FY 25</t>
  </si>
  <si>
    <t>FY 26</t>
  </si>
  <si>
    <t>FY 27</t>
  </si>
  <si>
    <t>FY 28</t>
  </si>
  <si>
    <t>FY 29</t>
  </si>
  <si>
    <t>FY 30</t>
  </si>
  <si>
    <t>Period ending</t>
  </si>
  <si>
    <t>Days in period</t>
  </si>
  <si>
    <t>-</t>
  </si>
  <si>
    <t>ECONOMICS BUILD</t>
  </si>
  <si>
    <t>JD (inc.Complementary Concepts)</t>
  </si>
  <si>
    <t>% as revenue</t>
  </si>
  <si>
    <t>bps yoy</t>
  </si>
  <si>
    <t>% 2 year</t>
  </si>
  <si>
    <t>% hoh</t>
  </si>
  <si>
    <t>Sporting Goods &amp; Outdoor</t>
  </si>
  <si>
    <t>Others</t>
  </si>
  <si>
    <t>Total Net Revenue</t>
  </si>
  <si>
    <t>Operating Profit</t>
  </si>
  <si>
    <t>% as JD's margin</t>
  </si>
  <si>
    <t>% as Sporting Goods &amp; Outdoor's margin</t>
  </si>
  <si>
    <t>Other</t>
  </si>
  <si>
    <t>Channels</t>
  </si>
  <si>
    <t>Retail Stores</t>
  </si>
  <si>
    <t>Multichannel (inc.Online)</t>
  </si>
  <si>
    <t>Total Revenue</t>
  </si>
  <si>
    <t>Stores</t>
  </si>
  <si>
    <t>Sports Fashion Fascias</t>
  </si>
  <si>
    <t xml:space="preserve"> Period start</t>
  </si>
  <si>
    <t xml:space="preserve"> New stores</t>
  </si>
  <si>
    <t xml:space="preserve"> Transfers</t>
  </si>
  <si>
    <t xml:space="preserve"> Acquired (net disposed)</t>
  </si>
  <si>
    <t xml:space="preserve"> Closures</t>
  </si>
  <si>
    <t xml:space="preserve"> Period end</t>
  </si>
  <si>
    <t>% as total</t>
  </si>
  <si>
    <t>Incremental</t>
  </si>
  <si>
    <t>Outdoor Fascias</t>
  </si>
  <si>
    <t>Total Store</t>
  </si>
  <si>
    <t>Sports Fashion Fascias Square (000 Sq Ft)</t>
  </si>
  <si>
    <t xml:space="preserve"> Extensions</t>
  </si>
  <si>
    <t xml:space="preserve"> Remeasure</t>
  </si>
  <si>
    <t>as % of total</t>
  </si>
  <si>
    <t>Outdoor Fascias Square (000 Sq Ft)</t>
  </si>
  <si>
    <t>Total Sq.ft (000 sq. ft)</t>
  </si>
  <si>
    <t>Trading footprint per store (sq.ft)</t>
  </si>
  <si>
    <t>Inventory</t>
  </si>
  <si>
    <t>COGS</t>
  </si>
  <si>
    <t>Inventory Turnover</t>
  </si>
  <si>
    <t>DHO</t>
  </si>
  <si>
    <t>UNIT ECONOMICS</t>
  </si>
  <si>
    <t>Retail store revenue per Store (£m)</t>
  </si>
  <si>
    <t>Retail orders per Store (£m)</t>
  </si>
  <si>
    <t>Retail store operating profit per Store (£m)</t>
  </si>
  <si>
    <t>Retail stroe revenue per Sq.ft (£)</t>
  </si>
  <si>
    <t>Retail stroe operating profit per Sq.ft (£)</t>
  </si>
  <si>
    <t>Δrevenue/ ΔStore</t>
  </si>
  <si>
    <t>Δ Operating profit/ Store</t>
  </si>
  <si>
    <t>Online Orders (m)</t>
  </si>
  <si>
    <t>INCOME STATEMENT (in millions)</t>
  </si>
  <si>
    <t>2025 GUIDANCE</t>
  </si>
  <si>
    <t>Cost of sales</t>
  </si>
  <si>
    <t>% of sales</t>
  </si>
  <si>
    <t>Gross Profit</t>
  </si>
  <si>
    <t>INCREMENTAL MARGIN</t>
  </si>
  <si>
    <t>SG&amp;A</t>
  </si>
  <si>
    <t xml:space="preserve">Selling and distribution expenses - normal </t>
  </si>
  <si>
    <t>Selling and distribution expenses -exceptional</t>
  </si>
  <si>
    <t>Selling and distribution expenses</t>
  </si>
  <si>
    <t>Administrative expenses - normal</t>
  </si>
  <si>
    <t>Administrative expenses - exceptional</t>
  </si>
  <si>
    <t>% as Selling and distribution expenses</t>
  </si>
  <si>
    <t>Administrative expenses</t>
  </si>
  <si>
    <t>% as Administrative expenses</t>
  </si>
  <si>
    <t>Share of profit of equity-accounted investees</t>
  </si>
  <si>
    <t>Other operating income</t>
  </si>
  <si>
    <t>Income from Operations</t>
  </si>
  <si>
    <t>Financial income</t>
  </si>
  <si>
    <t>Financial expenses</t>
  </si>
  <si>
    <t>Net financial expense</t>
  </si>
  <si>
    <t>Profit before tax</t>
  </si>
  <si>
    <t>Income tax expense</t>
  </si>
  <si>
    <t xml:space="preserve"> % rate</t>
  </si>
  <si>
    <t>Profit for the period</t>
  </si>
  <si>
    <t>Discontinued operation (Loss from discontinued operation)</t>
  </si>
  <si>
    <t>Net Income</t>
  </si>
  <si>
    <t>Attributable to equity holders of the parent</t>
  </si>
  <si>
    <t>% as net income</t>
  </si>
  <si>
    <t>Attributable to non-controlling interest</t>
  </si>
  <si>
    <t>Basic Shares</t>
  </si>
  <si>
    <t>Sequential</t>
  </si>
  <si>
    <t>Diluted EPS</t>
  </si>
  <si>
    <t>Depreciation</t>
  </si>
  <si>
    <t>BALANCE SHEET (in millions)</t>
  </si>
  <si>
    <t>Inventories</t>
  </si>
  <si>
    <t>Right of return assets</t>
  </si>
  <si>
    <t>Trade and other receivables</t>
  </si>
  <si>
    <t>Income tax receivables</t>
  </si>
  <si>
    <t>Assets held-for-sale</t>
  </si>
  <si>
    <t>Cash and equivalents</t>
  </si>
  <si>
    <t>Total current assets</t>
  </si>
  <si>
    <t>Intangible assets</t>
  </si>
  <si>
    <t>PPE</t>
  </si>
  <si>
    <t>Investments properties</t>
  </si>
  <si>
    <t>Right-of-use assets</t>
  </si>
  <si>
    <t>Investments in associates and joint ventures</t>
  </si>
  <si>
    <t>Other Assets</t>
  </si>
  <si>
    <t>Deferred tax assets</t>
  </si>
  <si>
    <t>Total non-current assets</t>
  </si>
  <si>
    <t>Total assets</t>
  </si>
  <si>
    <t>Interest-bearing loans and borrowings</t>
  </si>
  <si>
    <t>Lease Liabilities</t>
  </si>
  <si>
    <t>Trade and other payables</t>
  </si>
  <si>
    <t>Put and call option liabilities</t>
  </si>
  <si>
    <t xml:space="preserve">Liabilities directly associated with assets held-for-sale </t>
  </si>
  <si>
    <t>Provisions</t>
  </si>
  <si>
    <t>Income tax liabilities</t>
  </si>
  <si>
    <t>Liabilities held-for-sale</t>
  </si>
  <si>
    <t>Total current liabilities</t>
  </si>
  <si>
    <t>Other payables</t>
  </si>
  <si>
    <t xml:space="preserve">Deferred tax liabilities </t>
  </si>
  <si>
    <t>Total non-current liabilities</t>
  </si>
  <si>
    <t>Total liabilities</t>
  </si>
  <si>
    <t>Issued ordinary share capital</t>
  </si>
  <si>
    <t>Share premium</t>
  </si>
  <si>
    <t>Retained earnings</t>
  </si>
  <si>
    <t>Other reserves</t>
  </si>
  <si>
    <t>Total Equity attributable to equity holders of the parent</t>
  </si>
  <si>
    <t>Non-controlling interest</t>
  </si>
  <si>
    <t>Total Equity</t>
  </si>
  <si>
    <t>Total equity and liabilities</t>
  </si>
  <si>
    <t xml:space="preserve">  *Balance Check</t>
  </si>
  <si>
    <t>LEVERAGE</t>
  </si>
  <si>
    <t>Short-term debt</t>
  </si>
  <si>
    <t>Notes payable</t>
  </si>
  <si>
    <t>Long-term debt</t>
  </si>
  <si>
    <t>TOTAL DEBT</t>
  </si>
  <si>
    <t>Cash and cash equivalents</t>
  </si>
  <si>
    <t>NET DEBT</t>
  </si>
  <si>
    <t>EBITDA, TTM</t>
  </si>
  <si>
    <t>NET LEVERAGE</t>
  </si>
  <si>
    <t>ROIC</t>
  </si>
  <si>
    <t>Invested capital</t>
  </si>
  <si>
    <t>(-) Goodwill</t>
  </si>
  <si>
    <t>(-) Intangibles</t>
  </si>
  <si>
    <t>Tangible Invested Capital</t>
  </si>
  <si>
    <t>EBIT</t>
  </si>
  <si>
    <t>(-) Cash taxes</t>
  </si>
  <si>
    <t>NOPAT</t>
  </si>
  <si>
    <t>Incremental ROIC</t>
  </si>
  <si>
    <t>Tangible ROIC</t>
  </si>
  <si>
    <t>Incremental tangible ROIC</t>
  </si>
  <si>
    <t>CASH FLOW STATEMENT (in millions)</t>
  </si>
  <si>
    <t>Financial income (expense), net</t>
  </si>
  <si>
    <t>D&amp;A of non-current assets</t>
  </si>
  <si>
    <t>Change in operating</t>
  </si>
  <si>
    <t xml:space="preserve">    Increase in inventories</t>
  </si>
  <si>
    <t xml:space="preserve">    Decrease in trade and other receivables</t>
  </si>
  <si>
    <t xml:space="preserve">    Increase in trade and other payables</t>
  </si>
  <si>
    <t>Interest paid</t>
  </si>
  <si>
    <t>Lease interest</t>
  </si>
  <si>
    <t>Income taxes paid</t>
  </si>
  <si>
    <t xml:space="preserve">Cash From Operations                              </t>
  </si>
  <si>
    <t>Interest received</t>
  </si>
  <si>
    <t>Proceeds from sale of non-current assets</t>
  </si>
  <si>
    <t>CAPEX</t>
  </si>
  <si>
    <t xml:space="preserve">     Acquisition of other intangible assets</t>
  </si>
  <si>
    <t>Acquisition of PPE</t>
  </si>
  <si>
    <t>Acquisition of non-current other assets</t>
  </si>
  <si>
    <t xml:space="preserve">Cash from Investing Activities                    </t>
  </si>
  <si>
    <t>Repayment of interest-bearing loans and borrowings</t>
  </si>
  <si>
    <t>Draw down of interest-bearing loans and borrowings</t>
  </si>
  <si>
    <t>Repayment of lease liabilities</t>
  </si>
  <si>
    <t>Equity dividends paid</t>
  </si>
  <si>
    <t xml:space="preserve">Cash from Financing Activities                    </t>
  </si>
  <si>
    <t>Net increase (decrease) in cash, cash equivalents</t>
  </si>
  <si>
    <t>Effect of forex</t>
  </si>
  <si>
    <t xml:space="preserve">Cash&amp;equivalents at beginning of period              </t>
  </si>
  <si>
    <t xml:space="preserve">Cash&amp;equivalents at end of period       </t>
  </si>
  <si>
    <t>FREE CASH FLOW</t>
  </si>
  <si>
    <t>OCF</t>
  </si>
  <si>
    <t>CHANGES IN WC</t>
  </si>
  <si>
    <t>OCF, pre-WC changes</t>
  </si>
  <si>
    <t>Capex</t>
  </si>
  <si>
    <t>% FCFY</t>
  </si>
  <si>
    <t>FCF per share</t>
  </si>
  <si>
    <t>Current market price (scroll to latest period)</t>
  </si>
  <si>
    <t>Market cap (scroll to latest period)</t>
  </si>
  <si>
    <t>Market Value(m)</t>
  </si>
  <si>
    <t>AOV ESTIMATION</t>
  </si>
  <si>
    <t>MEN</t>
  </si>
  <si>
    <t>FOOTWEAR</t>
  </si>
  <si>
    <t>Footwear</t>
  </si>
  <si>
    <t>APPREAL</t>
  </si>
  <si>
    <t>Equip</t>
  </si>
  <si>
    <t>Women</t>
  </si>
  <si>
    <t>Apperal</t>
  </si>
  <si>
    <t>KID</t>
  </si>
  <si>
    <t>EQUIP</t>
  </si>
  <si>
    <t>Forex (£/$)</t>
  </si>
  <si>
    <t>FY17</t>
  </si>
  <si>
    <t>FY18</t>
  </si>
  <si>
    <t>FY19</t>
  </si>
  <si>
    <t>2030E</t>
  </si>
  <si>
    <t>Global Sportswear</t>
  </si>
  <si>
    <t>CAGR growth</t>
  </si>
  <si>
    <t>JD EPS Algorithm</t>
  </si>
  <si>
    <t>Market Expectation Gap</t>
  </si>
  <si>
    <t>2015-2019</t>
  </si>
  <si>
    <t>Industry Growth</t>
  </si>
  <si>
    <t>EPS Algo</t>
  </si>
  <si>
    <t>PEG</t>
  </si>
  <si>
    <t>Market Size</t>
  </si>
  <si>
    <t>2019-2023</t>
  </si>
  <si>
    <t>Market share tailwind</t>
  </si>
  <si>
    <t>Market</t>
  </si>
  <si>
    <t>Average</t>
  </si>
  <si>
    <t>Store openning tailwind</t>
  </si>
  <si>
    <t>bps</t>
  </si>
  <si>
    <t>Organic Revenue Algorithm</t>
  </si>
  <si>
    <t>Inorganic</t>
  </si>
  <si>
    <t>Revenue Algorithm</t>
  </si>
  <si>
    <t>Profit Growth</t>
  </si>
  <si>
    <t xml:space="preserve">EPS Growth </t>
  </si>
  <si>
    <t>20%-35%</t>
  </si>
  <si>
    <t>JD's Market Share</t>
  </si>
  <si>
    <t>Cash for M&amp;A</t>
  </si>
  <si>
    <t>JD Revenue</t>
  </si>
  <si>
    <t>EV/Rev</t>
  </si>
  <si>
    <t>Rev M&amp;A Potential</t>
  </si>
  <si>
    <t>Base Revenue</t>
  </si>
  <si>
    <t>% M&amp;A impact</t>
  </si>
  <si>
    <t>Outperformance Delta</t>
  </si>
  <si>
    <t>JD Share</t>
  </si>
  <si>
    <t>bps share</t>
  </si>
  <si>
    <t>Incremental share growth</t>
  </si>
  <si>
    <t>Incremental revenue growth (From Market)</t>
  </si>
  <si>
    <t>% as JD's Revenue</t>
  </si>
  <si>
    <t>EPS Growth / Revenue Growth</t>
  </si>
  <si>
    <t>30Y DCF</t>
  </si>
  <si>
    <t>FY15</t>
  </si>
  <si>
    <t>FY16</t>
  </si>
  <si>
    <t>FY30E</t>
  </si>
  <si>
    <t>FY31E</t>
  </si>
  <si>
    <t>FY32E</t>
  </si>
  <si>
    <t>FY33E</t>
  </si>
  <si>
    <t>FY34E</t>
  </si>
  <si>
    <t>FY35E</t>
  </si>
  <si>
    <t>FY36E</t>
  </si>
  <si>
    <t>FY37E</t>
  </si>
  <si>
    <t>FY38E</t>
  </si>
  <si>
    <t>FY39E</t>
  </si>
  <si>
    <t>FY40E</t>
  </si>
  <si>
    <t>FY41E</t>
  </si>
  <si>
    <t>FY42E</t>
  </si>
  <si>
    <t>FY43E</t>
  </si>
  <si>
    <t>FY44E</t>
  </si>
  <si>
    <t>FY45E</t>
  </si>
  <si>
    <t>FY46E</t>
  </si>
  <si>
    <t>DCF</t>
  </si>
  <si>
    <t>Operating profit</t>
  </si>
  <si>
    <t>INPUTS</t>
  </si>
  <si>
    <t>Interest Expense</t>
  </si>
  <si>
    <t>Beta</t>
  </si>
  <si>
    <t>PRE-TAX INCOME</t>
  </si>
  <si>
    <t xml:space="preserve">Risk Free Rate </t>
  </si>
  <si>
    <t>Cost of Equity</t>
  </si>
  <si>
    <t>Tax expense</t>
  </si>
  <si>
    <t>Cost of Debt</t>
  </si>
  <si>
    <t>Tax rate</t>
  </si>
  <si>
    <t>Tax-rate</t>
  </si>
  <si>
    <t>Debt ratio</t>
  </si>
  <si>
    <t>WACC</t>
  </si>
  <si>
    <t>D&amp;A</t>
  </si>
  <si>
    <t>% of revenue</t>
  </si>
  <si>
    <t>Terminal Value</t>
  </si>
  <si>
    <t>EV/EBITDA (Exit Multiple)</t>
  </si>
  <si>
    <t xml:space="preserve">% of Enterprise Value from TV	</t>
  </si>
  <si>
    <t>Incremental Fcinv rate</t>
  </si>
  <si>
    <t>Pv of forecast FCF</t>
  </si>
  <si>
    <t>Change in WC</t>
  </si>
  <si>
    <t>What is Priced in $</t>
  </si>
  <si>
    <t xml:space="preserve">Normalized Revenue </t>
  </si>
  <si>
    <t>UNLEVERED FCF</t>
  </si>
  <si>
    <t>Normalized FCF</t>
  </si>
  <si>
    <t>Long Term Revenue Growth</t>
  </si>
  <si>
    <t>Normalized Operating Margin</t>
  </si>
  <si>
    <t>Discount period</t>
  </si>
  <si>
    <t>Discount factor</t>
  </si>
  <si>
    <t>OUTPUTS</t>
  </si>
  <si>
    <t>PF of Free Cash Flows</t>
  </si>
  <si>
    <t>PV of FCF</t>
  </si>
  <si>
    <t>PV of Terminal Value</t>
  </si>
  <si>
    <t>Total Present Value</t>
  </si>
  <si>
    <t>Cumulative Present Value of FCF</t>
  </si>
  <si>
    <t>Less Net Debt</t>
  </si>
  <si>
    <t>% of Enterprise Value Covered</t>
  </si>
  <si>
    <t>Present Value of Equity</t>
  </si>
  <si>
    <t>VALUE PER SHARE</t>
  </si>
  <si>
    <t>Implied P/E</t>
  </si>
  <si>
    <t>FY25 Consensus EPS</t>
  </si>
  <si>
    <t>FY26 Consensus EPS</t>
  </si>
  <si>
    <t>FY25 implied P/E</t>
  </si>
  <si>
    <t>FY26 implied P/E</t>
  </si>
  <si>
    <t>P/E on Current Price</t>
  </si>
  <si>
    <t>Reverse DCF</t>
  </si>
  <si>
    <t>Market Expectation</t>
  </si>
  <si>
    <t>PV of Forecast FCF</t>
  </si>
  <si>
    <t>Total Enterprise Value</t>
  </si>
  <si>
    <t>BASE CASES</t>
  </si>
  <si>
    <t>Mgmt 2025 Guidance</t>
  </si>
  <si>
    <t>Scenario Analysis</t>
  </si>
  <si>
    <t>BEAR</t>
  </si>
  <si>
    <t>BASE</t>
  </si>
  <si>
    <t>BULL</t>
  </si>
  <si>
    <t>BASE EPS</t>
  </si>
  <si>
    <t>BULL EPS</t>
  </si>
  <si>
    <t>BEAR EPS</t>
  </si>
  <si>
    <t>Gross Margin</t>
  </si>
  <si>
    <t>Retail store revenue per Store</t>
  </si>
  <si>
    <t>Target</t>
  </si>
  <si>
    <t>3yr IRR</t>
  </si>
  <si>
    <t>Operating Margin</t>
  </si>
  <si>
    <t>Store</t>
  </si>
  <si>
    <t>%yoy</t>
  </si>
  <si>
    <t>Gross profit per store</t>
  </si>
  <si>
    <t>Operating profit per store</t>
  </si>
  <si>
    <t>Industry forecast</t>
  </si>
  <si>
    <t>Valuation Summary</t>
  </si>
  <si>
    <t>BASE EPS THOUGHTS</t>
  </si>
  <si>
    <t>BULL EPS THOUGHTS</t>
  </si>
  <si>
    <t>FY29 Earnings</t>
  </si>
  <si>
    <r>
      <rPr>
        <sz val="14"/>
        <color theme="1"/>
        <rFont val="宋体"/>
        <charset val="134"/>
      </rPr>
      <t>假设</t>
    </r>
    <r>
      <rPr>
        <sz val="14"/>
        <color theme="1"/>
        <rFont val="Calibri"/>
        <charset val="134"/>
      </rPr>
      <t xml:space="preserve">FY29 </t>
    </r>
    <r>
      <rPr>
        <sz val="14"/>
        <color theme="1"/>
        <rFont val="宋体"/>
        <charset val="134"/>
      </rPr>
      <t>门店数量及每店营收稳步增长，管理层指引的</t>
    </r>
    <r>
      <rPr>
        <sz val="14"/>
        <color theme="1"/>
        <rFont val="Calibri"/>
        <charset val="134"/>
      </rPr>
      <t xml:space="preserve"> 48.2%</t>
    </r>
    <r>
      <rPr>
        <sz val="14"/>
        <color theme="1"/>
        <rFont val="宋体"/>
        <charset val="134"/>
      </rPr>
      <t>毛利率和运营</t>
    </r>
    <r>
      <rPr>
        <sz val="14"/>
        <color theme="1"/>
        <rFont val="Calibri"/>
        <charset val="134"/>
      </rPr>
      <t>margin10%</t>
    </r>
    <r>
      <rPr>
        <sz val="14"/>
        <color theme="1"/>
        <rFont val="宋体"/>
        <charset val="134"/>
      </rPr>
      <t>未达目标预期，且仍低于过去均值，但</t>
    </r>
    <r>
      <rPr>
        <sz val="14"/>
        <color theme="1"/>
        <rFont val="Calibri"/>
        <charset val="134"/>
      </rPr>
      <t>EPS</t>
    </r>
    <r>
      <rPr>
        <sz val="14"/>
        <color theme="1"/>
        <rFont val="宋体"/>
        <charset val="134"/>
      </rPr>
      <t>仍能达到</t>
    </r>
    <r>
      <rPr>
        <sz val="14"/>
        <color theme="1"/>
        <rFont val="Calibri"/>
        <charset val="134"/>
      </rPr>
      <t>£0.12</t>
    </r>
    <r>
      <rPr>
        <sz val="14"/>
        <color theme="1"/>
        <rFont val="宋体"/>
        <charset val="134"/>
      </rPr>
      <t>，</t>
    </r>
    <r>
      <rPr>
        <sz val="14"/>
        <color theme="1"/>
        <rFont val="Calibri"/>
        <charset val="134"/>
      </rPr>
      <t>ROIC 12.5%</t>
    </r>
    <r>
      <rPr>
        <sz val="14"/>
        <color theme="1"/>
        <rFont val="宋体"/>
        <charset val="134"/>
      </rPr>
      <t>高于疫情后四年的回报，若按历史平均</t>
    </r>
    <r>
      <rPr>
        <sz val="14"/>
        <color theme="1"/>
        <rFont val="Calibri"/>
        <charset val="134"/>
      </rPr>
      <t>PE</t>
    </r>
    <r>
      <rPr>
        <sz val="14"/>
        <color theme="1"/>
        <rFont val="宋体"/>
        <charset val="134"/>
      </rPr>
      <t>下行估算，潜在回报区间仍有</t>
    </r>
    <r>
      <rPr>
        <sz val="14"/>
        <color theme="1"/>
        <rFont val="Calibri"/>
        <charset val="134"/>
      </rPr>
      <t>41.2%-129.4%</t>
    </r>
    <r>
      <rPr>
        <sz val="14"/>
        <color theme="1"/>
        <rFont val="宋体"/>
        <charset val="134"/>
      </rPr>
      <t>，该情景提供了明确的安全边际与结构性反弹空间，即使盈利未达“理想状态”，股价表现仍具吸引力。</t>
    </r>
  </si>
  <si>
    <r>
      <rPr>
        <sz val="14"/>
        <color theme="1"/>
        <rFont val="宋体"/>
        <charset val="134"/>
      </rPr>
      <t>假设至</t>
    </r>
    <r>
      <rPr>
        <sz val="14"/>
        <color theme="1"/>
        <rFont val="Calibri"/>
        <charset val="134"/>
      </rPr>
      <t xml:space="preserve"> FY29 </t>
    </r>
    <r>
      <rPr>
        <sz val="14"/>
        <color theme="1"/>
        <rFont val="宋体"/>
        <charset val="134"/>
      </rPr>
      <t>公司门店数量与每店营收持续提升，</t>
    </r>
    <r>
      <rPr>
        <sz val="14"/>
        <color theme="1"/>
        <rFont val="Calibri"/>
        <charset val="134"/>
      </rPr>
      <t xml:space="preserve"> </t>
    </r>
    <r>
      <rPr>
        <sz val="14"/>
        <color theme="1"/>
        <rFont val="宋体"/>
        <charset val="134"/>
      </rPr>
      <t>毛利率与运营利润率目标实现管理层目标。</t>
    </r>
    <r>
      <rPr>
        <sz val="14"/>
        <color theme="1"/>
        <rFont val="Calibri"/>
        <charset val="134"/>
      </rPr>
      <t>EPS</t>
    </r>
    <r>
      <rPr>
        <sz val="14"/>
        <color theme="1"/>
        <rFont val="宋体"/>
        <charset val="134"/>
      </rPr>
      <t>可达</t>
    </r>
    <r>
      <rPr>
        <sz val="14"/>
        <color theme="1"/>
        <rFont val="Calibri"/>
        <charset val="134"/>
      </rPr>
      <t xml:space="preserve"> £0.17</t>
    </r>
    <r>
      <rPr>
        <sz val="14"/>
        <color theme="1"/>
        <rFont val="宋体"/>
        <charset val="134"/>
      </rPr>
      <t>，</t>
    </r>
    <r>
      <rPr>
        <sz val="14"/>
        <color theme="1"/>
        <rFont val="Calibri"/>
        <charset val="134"/>
      </rPr>
      <t xml:space="preserve">ROIC </t>
    </r>
    <r>
      <rPr>
        <sz val="14"/>
        <color theme="1"/>
        <rFont val="宋体"/>
        <charset val="134"/>
      </rPr>
      <t>提升至</t>
    </r>
    <r>
      <rPr>
        <sz val="14"/>
        <color theme="1"/>
        <rFont val="Calibri"/>
        <charset val="134"/>
      </rPr>
      <t xml:space="preserve"> 17.8%</t>
    </r>
    <r>
      <rPr>
        <sz val="14"/>
        <color theme="1"/>
        <rFont val="宋体"/>
        <charset val="134"/>
      </rPr>
      <t>，远高于疫情后四年平均水平。若市场给予</t>
    </r>
    <r>
      <rPr>
        <sz val="14"/>
        <color theme="1"/>
        <rFont val="Calibri"/>
        <charset val="134"/>
      </rPr>
      <t xml:space="preserve"> 11</t>
    </r>
    <r>
      <rPr>
        <sz val="14"/>
        <color theme="1"/>
        <rFont val="Calibri"/>
        <charset val="1"/>
      </rPr>
      <t>–</t>
    </r>
    <r>
      <rPr>
        <sz val="14"/>
        <color theme="1"/>
        <rFont val="Calibri"/>
        <charset val="134"/>
      </rPr>
      <t xml:space="preserve">16 </t>
    </r>
    <r>
      <rPr>
        <sz val="14"/>
        <color theme="1"/>
        <rFont val="宋体"/>
        <charset val="134"/>
      </rPr>
      <t>倍估值，潜在回报为</t>
    </r>
    <r>
      <rPr>
        <sz val="14"/>
        <color theme="1"/>
        <rFont val="Calibri"/>
        <charset val="134"/>
      </rPr>
      <t xml:space="preserve"> 175% -300%</t>
    </r>
    <r>
      <rPr>
        <sz val="14"/>
        <color theme="1"/>
        <rFont val="宋体"/>
        <charset val="134"/>
      </rPr>
      <t>。股价表现具备显著向上弹性。</t>
    </r>
  </si>
  <si>
    <r>
      <rPr>
        <sz val="14"/>
        <color theme="1"/>
        <rFont val="宋体"/>
        <charset val="134"/>
      </rPr>
      <t>假设至</t>
    </r>
    <r>
      <rPr>
        <sz val="14"/>
        <color theme="1"/>
        <rFont val="Calibri"/>
        <charset val="134"/>
      </rPr>
      <t xml:space="preserve"> FY29 </t>
    </r>
    <r>
      <rPr>
        <sz val="14"/>
        <color theme="1"/>
        <rFont val="宋体"/>
        <charset val="134"/>
      </rPr>
      <t>公司门店数量与每店营收持续提升，</t>
    </r>
    <r>
      <rPr>
        <sz val="14"/>
        <color theme="1"/>
        <rFont val="Calibri"/>
        <charset val="134"/>
      </rPr>
      <t xml:space="preserve"> </t>
    </r>
    <r>
      <rPr>
        <sz val="14"/>
        <color theme="1"/>
        <rFont val="宋体"/>
        <charset val="134"/>
      </rPr>
      <t>毛利率与运营利润率目标大幅</t>
    </r>
    <r>
      <rPr>
        <sz val="14"/>
        <color theme="1"/>
        <rFont val="Calibri"/>
        <charset val="134"/>
      </rPr>
      <t>miss</t>
    </r>
    <r>
      <rPr>
        <sz val="14"/>
        <color theme="1"/>
        <rFont val="宋体"/>
        <charset val="134"/>
      </rPr>
      <t>管理层目标。</t>
    </r>
    <r>
      <rPr>
        <sz val="14"/>
        <color theme="1"/>
        <rFont val="Calibri"/>
        <charset val="134"/>
      </rPr>
      <t>EPS</t>
    </r>
    <r>
      <rPr>
        <sz val="14"/>
        <color theme="1"/>
        <rFont val="宋体"/>
        <charset val="134"/>
      </rPr>
      <t>虽仍高于疫情前水平，但</t>
    </r>
    <r>
      <rPr>
        <sz val="14"/>
        <color theme="1"/>
        <rFont val="Calibri"/>
        <charset val="134"/>
      </rPr>
      <t>ROIC</t>
    </r>
    <r>
      <rPr>
        <sz val="14"/>
        <color theme="1"/>
        <rFont val="宋体"/>
        <charset val="134"/>
      </rPr>
      <t>低于</t>
    </r>
    <r>
      <rPr>
        <sz val="14"/>
        <color theme="1"/>
        <rFont val="Calibri"/>
        <charset val="134"/>
      </rPr>
      <t>WACC</t>
    </r>
    <r>
      <rPr>
        <sz val="14"/>
        <color theme="1"/>
        <rFont val="宋体"/>
        <charset val="134"/>
      </rPr>
      <t>。若市场给予</t>
    </r>
    <r>
      <rPr>
        <sz val="14"/>
        <color theme="1"/>
        <rFont val="Calibri"/>
        <charset val="134"/>
      </rPr>
      <t xml:space="preserve"> 4-9 </t>
    </r>
    <r>
      <rPr>
        <sz val="14"/>
        <color theme="1"/>
        <rFont val="宋体"/>
        <charset val="134"/>
      </rPr>
      <t>倍估值，潜在跌幅为</t>
    </r>
    <r>
      <rPr>
        <sz val="14"/>
        <color theme="1"/>
        <rFont val="Calibri"/>
        <charset val="134"/>
      </rPr>
      <t xml:space="preserve"> </t>
    </r>
    <r>
      <rPr>
        <sz val="14"/>
        <color theme="1"/>
        <rFont val="Calibri"/>
        <charset val="1"/>
      </rPr>
      <t>–</t>
    </r>
    <r>
      <rPr>
        <sz val="14"/>
        <color theme="1"/>
        <rFont val="Calibri"/>
        <charset val="134"/>
      </rPr>
      <t xml:space="preserve">20%- </t>
    </r>
    <r>
      <rPr>
        <sz val="14"/>
        <color theme="1"/>
        <rFont val="Calibri"/>
        <charset val="1"/>
      </rPr>
      <t>–</t>
    </r>
    <r>
      <rPr>
        <sz val="14"/>
        <color theme="1"/>
        <rFont val="Calibri"/>
        <charset val="134"/>
      </rPr>
      <t>65%</t>
    </r>
    <r>
      <rPr>
        <sz val="14"/>
        <color theme="1"/>
        <rFont val="宋体"/>
        <charset val="134"/>
      </rPr>
      <t>，估值上升空间有限</t>
    </r>
  </si>
  <si>
    <t>Retail Store Revenue</t>
  </si>
  <si>
    <t>Target Price</t>
  </si>
  <si>
    <t>Multichannel Revenue</t>
  </si>
  <si>
    <t>%IRR</t>
  </si>
  <si>
    <t xml:space="preserve"> Target Price</t>
  </si>
  <si>
    <t>Probability</t>
  </si>
  <si>
    <t>Probability Adjusted</t>
  </si>
  <si>
    <t>COGS per store</t>
  </si>
  <si>
    <t>Incremental margin</t>
  </si>
  <si>
    <t>% of net income</t>
  </si>
  <si>
    <t>BULL CASES</t>
  </si>
  <si>
    <t>BEAR CASES</t>
  </si>
  <si>
    <t>JD</t>
  </si>
  <si>
    <t>LSEG</t>
  </si>
  <si>
    <t>Relative</t>
  </si>
  <si>
    <t>Current</t>
  </si>
  <si>
    <t>1 Year Median</t>
  </si>
  <si>
    <t>3 Year Median</t>
  </si>
  <si>
    <t>5 Year Median</t>
  </si>
  <si>
    <t>1 Year Min</t>
  </si>
  <si>
    <t>3 Year Min</t>
  </si>
  <si>
    <t>5 Year Min</t>
  </si>
  <si>
    <t>1 Year Max</t>
  </si>
  <si>
    <t>3 Year Max</t>
  </si>
  <si>
    <t>5 Year Max</t>
  </si>
  <si>
    <t>Date</t>
  </si>
  <si>
    <t>JD Multiples (BF P/E)</t>
  </si>
  <si>
    <t>Average Peers Multiples (BF P/E)</t>
  </si>
  <si>
    <t>Premium%</t>
  </si>
  <si>
    <r>
      <rPr>
        <b/>
        <sz val="20"/>
        <color theme="0"/>
        <rFont val="等线"/>
        <charset val="134"/>
      </rPr>
      <t xml:space="preserve">% </t>
    </r>
    <r>
      <rPr>
        <b/>
        <sz val="20"/>
        <color theme="0"/>
        <rFont val="Calibri"/>
        <charset val="134"/>
      </rPr>
      <t>Average Premium (5 yrs)</t>
    </r>
  </si>
  <si>
    <t>+1 SD.</t>
  </si>
  <si>
    <r>
      <rPr>
        <b/>
        <sz val="20"/>
        <color theme="0"/>
        <rFont val="Calibri"/>
        <charset val="134"/>
      </rPr>
      <t>-1</t>
    </r>
    <r>
      <rPr>
        <b/>
        <sz val="20"/>
        <color theme="0"/>
        <rFont val="等线"/>
        <charset val="134"/>
      </rPr>
      <t xml:space="preserve"> </t>
    </r>
    <r>
      <rPr>
        <b/>
        <sz val="20"/>
        <color theme="0"/>
        <rFont val="Calibri"/>
        <charset val="134"/>
      </rPr>
      <t>SD.</t>
    </r>
  </si>
  <si>
    <t>LSEG Multiples (BF P/E)</t>
  </si>
  <si>
    <t>Gross profit</t>
  </si>
  <si>
    <t>4Q2022</t>
  </si>
  <si>
    <t>1Q2023</t>
  </si>
  <si>
    <t>2Q2023</t>
  </si>
  <si>
    <t>3Q2023</t>
  </si>
  <si>
    <t>4Q2023</t>
  </si>
  <si>
    <t>1Q2024</t>
  </si>
  <si>
    <t>2Q2024</t>
  </si>
  <si>
    <t>3Q2024</t>
  </si>
  <si>
    <t>4Q2024</t>
  </si>
  <si>
    <t>1Q2025</t>
  </si>
  <si>
    <t>2Q2025</t>
  </si>
  <si>
    <t>3Q2025</t>
  </si>
  <si>
    <t>4Q2025</t>
  </si>
  <si>
    <t>Selling, general &amp; administrative costs</t>
  </si>
  <si>
    <t>Research and development costs</t>
  </si>
  <si>
    <t>Other income/expense ,net</t>
  </si>
  <si>
    <t>Result from investments</t>
  </si>
  <si>
    <t>Operating profit (EBIT)</t>
  </si>
  <si>
    <t>Financial expenses, net</t>
  </si>
  <si>
    <t>Profit before taxes</t>
  </si>
  <si>
    <t>Net profit</t>
  </si>
  <si>
    <t>Non-controlling interests</t>
  </si>
  <si>
    <t>Owners of the parent</t>
  </si>
  <si>
    <t>Common shares outstanding</t>
  </si>
  <si>
    <t>Diluted shares outstanding</t>
  </si>
  <si>
    <t>Basic EPS</t>
  </si>
  <si>
    <t>Impact of dilutive securities</t>
  </si>
  <si>
    <t>Growth rates &amp; margins</t>
  </si>
  <si>
    <t xml:space="preserve"> Revenue growth</t>
  </si>
  <si>
    <t xml:space="preserve"> Gross profit margin</t>
  </si>
  <si>
    <t xml:space="preserve"> SG&amp;A margin</t>
  </si>
  <si>
    <t xml:space="preserve"> Tax rate</t>
  </si>
  <si>
    <t xml:space="preserve"> Net profit margin</t>
  </si>
  <si>
    <t xml:space="preserve">EBITDA reconciliation </t>
  </si>
  <si>
    <t xml:space="preserve"> Depreciation &amp; amortization</t>
  </si>
  <si>
    <t xml:space="preserve"> EBITDA</t>
  </si>
  <si>
    <t>Trade receivables</t>
  </si>
  <si>
    <t>Receivables from financing activities</t>
  </si>
  <si>
    <t>Tax receivables</t>
  </si>
  <si>
    <t>Other current assets</t>
  </si>
  <si>
    <t>Current financial assets</t>
  </si>
  <si>
    <t>Cash &amp; equivalents</t>
  </si>
  <si>
    <t>Goodwill</t>
  </si>
  <si>
    <t>Property, plant &amp; equipment</t>
  </si>
  <si>
    <t>Investments and other financial assets</t>
  </si>
  <si>
    <t>Trade payables</t>
  </si>
  <si>
    <t>Tax payables</t>
  </si>
  <si>
    <t>Other financial liabilities</t>
  </si>
  <si>
    <t>Empolyee benefits</t>
  </si>
  <si>
    <t>Deferred tax liabilities</t>
  </si>
  <si>
    <t>Other Liabilities</t>
  </si>
  <si>
    <t>Debt</t>
  </si>
  <si>
    <t>Equity attributable to owners of the parent</t>
  </si>
  <si>
    <t>Total equity</t>
  </si>
  <si>
    <t>Ratios</t>
  </si>
  <si>
    <t>Asset turnover</t>
  </si>
  <si>
    <t>Return on assets (ROA)</t>
  </si>
  <si>
    <t>Return on book equity (ROE)</t>
  </si>
  <si>
    <t>Return on Invested Capital (ROIC)</t>
  </si>
  <si>
    <t>WORKING CAPITAL (in millions)</t>
  </si>
  <si>
    <t>Accounts receivable</t>
  </si>
  <si>
    <t xml:space="preserve"> Beginning of period</t>
  </si>
  <si>
    <t xml:space="preserve"> Increases / (decreases)</t>
  </si>
  <si>
    <t xml:space="preserve"> Provision for bad debts and returns</t>
  </si>
  <si>
    <t xml:space="preserve"> End of period</t>
  </si>
  <si>
    <t xml:space="preserve"> AR as % of sales</t>
  </si>
  <si>
    <t xml:space="preserve"> Days sales outstanding (DSO)</t>
  </si>
  <si>
    <t xml:space="preserve"> Inventory as % of COGS</t>
  </si>
  <si>
    <t xml:space="preserve"> Inventory turnover</t>
  </si>
  <si>
    <t>Accouts payable</t>
  </si>
  <si>
    <t xml:space="preserve"> Accounts payable as % of COGS</t>
  </si>
  <si>
    <t xml:space="preserve"> Days payables outstanding (DPO)</t>
  </si>
  <si>
    <t>Other liabilities</t>
  </si>
  <si>
    <t>Amortization and depreciation</t>
  </si>
  <si>
    <t>Provision accruals</t>
  </si>
  <si>
    <t>Net finance costs</t>
  </si>
  <si>
    <t>Other non-cash expenses, net</t>
  </si>
  <si>
    <t>Change in inventories</t>
  </si>
  <si>
    <t>Change in trade receivables</t>
  </si>
  <si>
    <t>Change in trade payables</t>
  </si>
  <si>
    <t>Change in receivables from financing activities</t>
  </si>
  <si>
    <t>Change in other operating assets and liabilities</t>
  </si>
  <si>
    <t>Finance income received</t>
  </si>
  <si>
    <t>Finance costs paid</t>
  </si>
  <si>
    <t>Income tax paid</t>
  </si>
  <si>
    <t>Total cash flow from operating activities</t>
  </si>
  <si>
    <t>Investments in property, plant and equipment</t>
  </si>
  <si>
    <t>Investments in intangible assets</t>
  </si>
  <si>
    <t>Investment in joint ventures</t>
  </si>
  <si>
    <t>Proceeds from sale of PPE&amp;intangible assets</t>
  </si>
  <si>
    <t>Proceeds from sale of securities</t>
  </si>
  <si>
    <t xml:space="preserve">Total cash flow from investing activities </t>
  </si>
  <si>
    <t>Net change in bonds and notes</t>
  </si>
  <si>
    <t>Net change in securitizations</t>
  </si>
  <si>
    <t>Net change in other debt</t>
  </si>
  <si>
    <t>Net change in borrowings from banks and other institutions</t>
  </si>
  <si>
    <t>Repayments from lease liabilities</t>
  </si>
  <si>
    <t>Dividends paid to owners of the parent</t>
  </si>
  <si>
    <t>Dividends paid to non-controlling interests</t>
  </si>
  <si>
    <t>Share repurchases</t>
  </si>
  <si>
    <t>Total cash from financing activities</t>
  </si>
  <si>
    <t>Translation exchange differences</t>
  </si>
  <si>
    <t>Total change in cash and cash equivalents</t>
  </si>
  <si>
    <t>Cash and cash equivalents at end of the period</t>
  </si>
  <si>
    <t>Modelling draft</t>
  </si>
  <si>
    <t>Profitability</t>
  </si>
  <si>
    <t>Gross profit Margin</t>
  </si>
  <si>
    <t>Net profit Margin</t>
  </si>
  <si>
    <t>EBIT Margin</t>
  </si>
  <si>
    <t>EBITDA Margin</t>
  </si>
  <si>
    <t>Growth Capability</t>
  </si>
  <si>
    <t>ROE</t>
  </si>
  <si>
    <t>Revenue Growth Rate</t>
  </si>
  <si>
    <t>Operating profit growth</t>
  </si>
  <si>
    <t>Net earnings attributable to parent</t>
  </si>
  <si>
    <t>Management Efficiency</t>
  </si>
  <si>
    <t>Accounts Receivable Decrease (Increase)</t>
  </si>
  <si>
    <t>N/A</t>
  </si>
  <si>
    <t>Prepaid expenses Decrease (Increase)</t>
  </si>
  <si>
    <t>Fixed Asset Turnover</t>
  </si>
  <si>
    <t>Cash from operating activities</t>
  </si>
  <si>
    <t>Solvency</t>
  </si>
  <si>
    <t>Debt-to-Asset Ratio</t>
  </si>
  <si>
    <t>Quick Ratio</t>
  </si>
  <si>
    <t>Cash and Cash Equivalents</t>
  </si>
  <si>
    <t>Other Risk Items</t>
  </si>
  <si>
    <t>Fixed Assets</t>
  </si>
  <si>
    <t>Current asset control</t>
  </si>
  <si>
    <t>Accounts Receivable / Revenue</t>
  </si>
  <si>
    <t>Prepayments / Revenue</t>
  </si>
  <si>
    <t>Inventory / Revenue</t>
  </si>
  <si>
    <t>Net Cash Ratio</t>
  </si>
  <si>
    <t>Current Assets</t>
  </si>
  <si>
    <t>Current Liabilities</t>
  </si>
  <si>
    <t>Working Capital</t>
  </si>
  <si>
    <t>Free Cash Flow</t>
  </si>
  <si>
    <t xml:space="preserve">5-Year adjust beta </t>
  </si>
  <si>
    <t xml:space="preserve">Equity Risk Premium *From sell-side reports. </t>
  </si>
  <si>
    <t xml:space="preserve">LT debt </t>
  </si>
  <si>
    <t>DCF Modelling for SKX</t>
  </si>
  <si>
    <t>Discount rate</t>
  </si>
  <si>
    <t xml:space="preserve">   Quarterly</t>
  </si>
  <si>
    <t xml:space="preserve">Perpetual growth rate </t>
  </si>
  <si>
    <t>Quarter</t>
  </si>
  <si>
    <t>Period</t>
  </si>
  <si>
    <t>Cash flow</t>
  </si>
  <si>
    <t>PV of cash flow</t>
  </si>
  <si>
    <t>PV of terminal value</t>
  </si>
  <si>
    <t>PV of all cash flow</t>
  </si>
  <si>
    <t>Enterprise value</t>
  </si>
  <si>
    <t>debt</t>
  </si>
  <si>
    <t>cash</t>
  </si>
  <si>
    <t>Equity value</t>
  </si>
  <si>
    <t>Shares</t>
  </si>
  <si>
    <t>Equity value per share</t>
  </si>
  <si>
    <r>
      <rPr>
        <b/>
        <sz val="14"/>
        <rFont val="Calibri"/>
        <charset val="134"/>
      </rPr>
      <t xml:space="preserve">DCF Modelling for SKX </t>
    </r>
    <r>
      <rPr>
        <b/>
        <sz val="14"/>
        <rFont val="等线"/>
        <charset val="134"/>
      </rPr>
      <t>（</t>
    </r>
    <r>
      <rPr>
        <b/>
        <sz val="14"/>
        <rFont val="Calibri"/>
        <charset val="134"/>
      </rPr>
      <t>BULL</t>
    </r>
    <r>
      <rPr>
        <b/>
        <sz val="14"/>
        <rFont val="等线"/>
        <charset val="134"/>
      </rPr>
      <t>）</t>
    </r>
  </si>
  <si>
    <r>
      <rPr>
        <b/>
        <sz val="14"/>
        <rFont val="Calibri"/>
        <charset val="134"/>
      </rPr>
      <t xml:space="preserve">DCF Modelling for SKX </t>
    </r>
    <r>
      <rPr>
        <b/>
        <sz val="14"/>
        <rFont val="等线"/>
        <charset val="134"/>
      </rPr>
      <t>（</t>
    </r>
    <r>
      <rPr>
        <b/>
        <sz val="14"/>
        <rFont val="Calibri"/>
        <charset val="134"/>
      </rPr>
      <t>BEAR</t>
    </r>
    <r>
      <rPr>
        <b/>
        <sz val="14"/>
        <rFont val="等线"/>
        <charset val="134"/>
      </rPr>
      <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</si>
</sst>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37">
    <numFmt numFmtId="41" formatCode="_-* #,##0_-;\-* #,##0_-;_-* &quot;-&quot;_-;_-@_-"/>
    <numFmt numFmtId="42" formatCode="_-&quot;£&quot;* #,##0_-;\-&quot;£&quot;* #,##0_-;_-&quot;£&quot;* &quot;-&quot;_-;_-@_-"/>
    <numFmt numFmtId="44" formatCode="_-&quot;£&quot;* #,##0.00_-;\-&quot;£&quot;* #,##0.00_-;_-&quot;£&quot;* &quot;-&quot;??_-;_-@_-"/>
    <numFmt numFmtId="176" formatCode="_(* #,##0.00_);_(* \(#,##0.00\);_(* &quot;-&quot;??_);_(@_)"/>
    <numFmt numFmtId="177" formatCode="[$-409]mmm/yy;@"/>
    <numFmt numFmtId="178" formatCode="[$-409]mmm\-yy;@"/>
    <numFmt numFmtId="179" formatCode="#,##0.0"/>
    <numFmt numFmtId="180" formatCode="0000\A"/>
    <numFmt numFmtId="181" formatCode="0000\P"/>
    <numFmt numFmtId="182" formatCode="#,##0.0_ "/>
    <numFmt numFmtId="183" formatCode="0.0%"/>
    <numFmt numFmtId="184" formatCode="0.0_ "/>
    <numFmt numFmtId="185" formatCode="0_ "/>
    <numFmt numFmtId="186" formatCode="_(* #,##0_);_(* \(#,##0\);_(* &quot;-&quot;??_);_(@_)"/>
    <numFmt numFmtId="187" formatCode="0_);[Red]\(0\)"/>
    <numFmt numFmtId="188" formatCode="0&quot; days&quot;"/>
    <numFmt numFmtId="189" formatCode="#,##0.00_ "/>
    <numFmt numFmtId="190" formatCode="#,##0_ "/>
    <numFmt numFmtId="191" formatCode="0.00_);[Red]\(0.00\)"/>
    <numFmt numFmtId="192" formatCode="#,##0.0000"/>
    <numFmt numFmtId="193" formatCode="0.00_ "/>
    <numFmt numFmtId="194" formatCode="0.000"/>
    <numFmt numFmtId="195" formatCode="[$$-409]#,##0"/>
    <numFmt numFmtId="196" formatCode="[$$-409]#,##0.0"/>
    <numFmt numFmtId="197" formatCode="&quot;£&quot;#,##0_);[Red]\(&quot;£&quot;#,##0\)"/>
    <numFmt numFmtId="198" formatCode="&quot;£&quot;#,##0"/>
    <numFmt numFmtId="199" formatCode="&quot;£&quot;#,##0.00"/>
    <numFmt numFmtId="200" formatCode="0.0\x"/>
    <numFmt numFmtId="201" formatCode="#,##0_);[Red]\(#,##0\)"/>
    <numFmt numFmtId="202" formatCode="&quot;£&quot;#,##0.00_);[Red]\(&quot;£&quot;#,##0.00\)"/>
    <numFmt numFmtId="203" formatCode="m/d/yy"/>
    <numFmt numFmtId="204" formatCode="&quot;£&quot;#,##0.0"/>
    <numFmt numFmtId="205" formatCode="&quot;$&quot;#,##0_);\(&quot;$&quot;#,##0\)"/>
    <numFmt numFmtId="206" formatCode="#,##0.0%_);\(#,##0.0%\)"/>
    <numFmt numFmtId="207" formatCode="#,##0.000_ "/>
    <numFmt numFmtId="208" formatCode="&quot;$&quot;#,##0.000_);\(&quot;$&quot;#,##0.000\)"/>
    <numFmt numFmtId="209" formatCode="&quot;$&quot;#,##0.00"/>
  </numFmts>
  <fonts count="86">
    <font>
      <sz val="12"/>
      <color theme="1"/>
      <name val="等线"/>
      <charset val="134"/>
      <scheme val="minor"/>
    </font>
    <font>
      <sz val="14"/>
      <color theme="1"/>
      <name val="Calibri"/>
      <charset val="134"/>
    </font>
    <font>
      <sz val="14"/>
      <name val="Calibri"/>
      <charset val="134"/>
    </font>
    <font>
      <b/>
      <sz val="14"/>
      <color theme="1"/>
      <name val="Calibri"/>
      <charset val="134"/>
    </font>
    <font>
      <b/>
      <sz val="14"/>
      <name val="Calibri"/>
      <charset val="134"/>
    </font>
    <font>
      <i/>
      <sz val="14"/>
      <color theme="1"/>
      <name val="Calibri"/>
      <charset val="134"/>
    </font>
    <font>
      <sz val="14"/>
      <color theme="4" tint="-0.249977111117893"/>
      <name val="Calibri"/>
      <charset val="134"/>
    </font>
    <font>
      <u/>
      <sz val="14"/>
      <color theme="1"/>
      <name val="Calibri"/>
      <charset val="134"/>
    </font>
    <font>
      <i/>
      <sz val="14"/>
      <color theme="4" tint="-0.249977111117893"/>
      <name val="Calibri"/>
      <charset val="134"/>
    </font>
    <font>
      <sz val="14"/>
      <color rgb="FF00B050"/>
      <name val="Calibri"/>
      <charset val="134"/>
    </font>
    <font>
      <sz val="14"/>
      <color rgb="FF000000"/>
      <name val="Calibri"/>
      <charset val="134"/>
    </font>
    <font>
      <b/>
      <sz val="14"/>
      <color rgb="FF000000"/>
      <name val="Calibri"/>
      <charset val="134"/>
    </font>
    <font>
      <sz val="14"/>
      <color rgb="FF00B0F0"/>
      <name val="Calibri"/>
      <charset val="134"/>
    </font>
    <font>
      <i/>
      <sz val="14"/>
      <color rgb="FF00B0F0"/>
      <name val="Calibri"/>
      <charset val="134"/>
    </font>
    <font>
      <sz val="14"/>
      <color theme="8" tint="-0.249977111117893"/>
      <name val="Calibri"/>
      <charset val="134"/>
    </font>
    <font>
      <b/>
      <sz val="14"/>
      <color rgb="FF00B0F0"/>
      <name val="Calibri"/>
      <charset val="134"/>
    </font>
    <font>
      <b/>
      <sz val="18"/>
      <color theme="0"/>
      <name val="Calibri"/>
      <charset val="134"/>
    </font>
    <font>
      <sz val="14"/>
      <color rgb="FF333333"/>
      <name val="Calibri"/>
      <charset val="134"/>
    </font>
    <font>
      <b/>
      <sz val="20"/>
      <color theme="0"/>
      <name val="Calibri"/>
      <charset val="134"/>
    </font>
    <font>
      <b/>
      <sz val="14"/>
      <color rgb="FF00B050"/>
      <name val="Calibri"/>
      <charset val="134"/>
    </font>
    <font>
      <b/>
      <sz val="14"/>
      <color theme="4"/>
      <name val="Calibri"/>
      <charset val="134"/>
    </font>
    <font>
      <b/>
      <sz val="14"/>
      <color theme="0"/>
      <name val="Calibri"/>
      <charset val="134"/>
    </font>
    <font>
      <sz val="20"/>
      <color theme="1"/>
      <name val="Calibri"/>
      <charset val="134"/>
    </font>
    <font>
      <b/>
      <sz val="12"/>
      <color theme="1"/>
      <name val="等线"/>
      <charset val="134"/>
      <scheme val="minor"/>
    </font>
    <font>
      <b/>
      <sz val="20"/>
      <color theme="1"/>
      <name val="Calibri"/>
      <charset val="134"/>
    </font>
    <font>
      <sz val="20"/>
      <color theme="0"/>
      <name val="等线"/>
      <charset val="134"/>
      <scheme val="minor"/>
    </font>
    <font>
      <sz val="14"/>
      <color theme="0"/>
      <name val="Calibri"/>
      <charset val="134"/>
    </font>
    <font>
      <sz val="14"/>
      <color rgb="FF595959"/>
      <name val="Calibri"/>
      <charset val="134"/>
    </font>
    <font>
      <b/>
      <sz val="14"/>
      <color theme="4" tint="-0.249977111117893"/>
      <name val="Calibri"/>
      <charset val="134"/>
    </font>
    <font>
      <i/>
      <sz val="14"/>
      <color rgb="FF595959"/>
      <name val="Calibri"/>
      <charset val="134"/>
    </font>
    <font>
      <sz val="12"/>
      <color theme="4" tint="-0.249977111117893"/>
      <name val="等线"/>
      <charset val="134"/>
      <scheme val="minor"/>
    </font>
    <font>
      <sz val="18"/>
      <color theme="1"/>
      <name val="Calibri"/>
      <charset val="134"/>
    </font>
    <font>
      <sz val="12"/>
      <color theme="0"/>
      <name val="Calibri"/>
      <charset val="134"/>
    </font>
    <font>
      <b/>
      <sz val="18"/>
      <color theme="1"/>
      <name val="Calibri"/>
      <charset val="134"/>
    </font>
    <font>
      <b/>
      <i/>
      <sz val="20"/>
      <color theme="0"/>
      <name val="Calibri"/>
      <charset val="134"/>
    </font>
    <font>
      <b/>
      <i/>
      <sz val="14"/>
      <color theme="1"/>
      <name val="Calibri"/>
      <charset val="134"/>
    </font>
    <font>
      <sz val="20"/>
      <color theme="0"/>
      <name val="Calibri"/>
      <charset val="134"/>
    </font>
    <font>
      <sz val="24"/>
      <color theme="0"/>
      <name val="Calibri"/>
      <charset val="134"/>
    </font>
    <font>
      <sz val="18"/>
      <color theme="4" tint="-0.249977111117893"/>
      <name val="Calibri"/>
      <charset val="134"/>
    </font>
    <font>
      <sz val="14"/>
      <color rgb="FF9933FF"/>
      <name val="Calibri"/>
      <charset val="134"/>
    </font>
    <font>
      <b/>
      <sz val="14"/>
      <color rgb="FF9933FF"/>
      <name val="Calibri"/>
      <charset val="134"/>
    </font>
    <font>
      <b/>
      <sz val="18"/>
      <name val="Calibri"/>
      <charset val="134"/>
    </font>
    <font>
      <sz val="14"/>
      <name val="宋体"/>
      <charset val="134"/>
    </font>
    <font>
      <b/>
      <sz val="14"/>
      <color rgb="FF0000FF"/>
      <name val="Calibri"/>
      <charset val="134"/>
    </font>
    <font>
      <sz val="14"/>
      <color theme="4"/>
      <name val="Calibri"/>
      <charset val="134"/>
    </font>
    <font>
      <sz val="14"/>
      <color rgb="FF7030A0"/>
      <name val="Calibri"/>
      <charset val="134"/>
    </font>
    <font>
      <b/>
      <sz val="14"/>
      <name val="Arial"/>
      <charset val="134"/>
    </font>
    <font>
      <i/>
      <sz val="14"/>
      <color rgb="FF0070C0"/>
      <name val="Calibri"/>
      <charset val="134"/>
    </font>
    <font>
      <sz val="20"/>
      <color rgb="FF7030A0"/>
      <name val="Calibri"/>
      <charset val="134"/>
    </font>
    <font>
      <sz val="20"/>
      <name val="Calibri"/>
      <charset val="134"/>
    </font>
    <font>
      <sz val="9"/>
      <name val="Arial"/>
      <charset val="134"/>
    </font>
    <font>
      <sz val="14"/>
      <name val="Arial"/>
      <charset val="134"/>
    </font>
    <font>
      <b/>
      <sz val="14"/>
      <color rgb="FF7030A0"/>
      <name val="Calibri"/>
      <charset val="134"/>
    </font>
    <font>
      <sz val="14"/>
      <color rgb="FFFF0000"/>
      <name val="Calibri"/>
      <charset val="134"/>
    </font>
    <font>
      <b/>
      <sz val="14"/>
      <color theme="9"/>
      <name val="Calibr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name val="宋体"/>
      <charset val="134"/>
    </font>
    <font>
      <sz val="11"/>
      <color theme="1"/>
      <name val="等线"/>
      <charset val="134"/>
      <scheme val="minor"/>
    </font>
    <font>
      <sz val="10"/>
      <name val="Arial"/>
      <charset val="134"/>
    </font>
    <font>
      <i/>
      <sz val="10"/>
      <color rgb="FF595959"/>
      <name val="Arial"/>
      <charset val="134"/>
    </font>
    <font>
      <sz val="11"/>
      <color indexed="8"/>
      <name val="宋体"/>
      <charset val="134"/>
    </font>
    <font>
      <sz val="8"/>
      <name val="Helvetica"/>
      <charset val="134"/>
    </font>
    <font>
      <sz val="14"/>
      <color theme="1"/>
      <name val="宋体"/>
      <charset val="134"/>
    </font>
    <font>
      <sz val="14"/>
      <color theme="1"/>
      <name val="Calibri"/>
      <charset val="1"/>
    </font>
    <font>
      <b/>
      <sz val="14"/>
      <name val="等线"/>
      <charset val="134"/>
    </font>
    <font>
      <b/>
      <sz val="20"/>
      <color theme="0"/>
      <name val="等线"/>
      <charset val="134"/>
    </font>
    <font>
      <sz val="10"/>
      <name val="宋体"/>
      <charset val="134"/>
    </font>
  </fonts>
  <fills count="43">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bgColor indexed="64"/>
      </patternFill>
    </fill>
    <fill>
      <patternFill patternType="solid">
        <fgColor rgb="FFFF7C80"/>
        <bgColor indexed="64"/>
      </patternFill>
    </fill>
    <fill>
      <patternFill patternType="solid">
        <fgColor theme="4" tint="0.799981688894314"/>
        <bgColor indexed="64"/>
      </patternFill>
    </fill>
    <fill>
      <patternFill patternType="solid">
        <fgColor rgb="FFFFFF00"/>
        <bgColor rgb="FFFFFF99"/>
      </patternFill>
    </fill>
    <fill>
      <patternFill patternType="solid">
        <fgColor theme="9" tint="0.799981688894314"/>
        <bgColor indexed="64"/>
      </patternFill>
    </fill>
    <fill>
      <patternFill patternType="solid">
        <fgColor theme="4" tint="-0.249977111117893"/>
        <bgColor indexed="64"/>
      </patternFill>
    </fill>
    <fill>
      <patternFill patternType="solid">
        <fgColor indexed="9"/>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right/>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0" fontId="0" fillId="0" borderId="0"/>
    <xf numFmtId="176" fontId="0" fillId="0" borderId="0" applyFont="0" applyFill="0" applyBorder="0" applyAlignment="0" applyProtection="0"/>
    <xf numFmtId="44" fontId="55" fillId="0" borderId="0" applyFont="0" applyFill="0" applyBorder="0" applyAlignment="0" applyProtection="0">
      <alignment vertical="center"/>
    </xf>
    <xf numFmtId="9" fontId="55" fillId="0" borderId="0" applyFont="0" applyFill="0" applyBorder="0" applyAlignment="0" applyProtection="0">
      <alignment vertical="center"/>
    </xf>
    <xf numFmtId="41" fontId="55" fillId="0" borderId="0" applyFont="0" applyFill="0" applyBorder="0" applyAlignment="0" applyProtection="0">
      <alignment vertical="center"/>
    </xf>
    <xf numFmtId="42" fontId="55" fillId="0" borderId="0" applyFon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5" fillId="12" borderId="18" applyNumberFormat="0" applyFont="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9" applyNumberFormat="0" applyFill="0" applyAlignment="0" applyProtection="0">
      <alignment vertical="center"/>
    </xf>
    <xf numFmtId="0" fontId="62" fillId="0" borderId="19" applyNumberFormat="0" applyFill="0" applyAlignment="0" applyProtection="0">
      <alignment vertical="center"/>
    </xf>
    <xf numFmtId="0" fontId="63" fillId="0" borderId="20" applyNumberFormat="0" applyFill="0" applyAlignment="0" applyProtection="0">
      <alignment vertical="center"/>
    </xf>
    <xf numFmtId="0" fontId="63" fillId="0" borderId="0" applyNumberFormat="0" applyFill="0" applyBorder="0" applyAlignment="0" applyProtection="0">
      <alignment vertical="center"/>
    </xf>
    <xf numFmtId="0" fontId="64" fillId="13" borderId="21" applyNumberFormat="0" applyAlignment="0" applyProtection="0">
      <alignment vertical="center"/>
    </xf>
    <xf numFmtId="0" fontId="65" fillId="14" borderId="22" applyNumberFormat="0" applyAlignment="0" applyProtection="0">
      <alignment vertical="center"/>
    </xf>
    <xf numFmtId="0" fontId="66" fillId="14" borderId="21" applyNumberFormat="0" applyAlignment="0" applyProtection="0">
      <alignment vertical="center"/>
    </xf>
    <xf numFmtId="0" fontId="67" fillId="15" borderId="23" applyNumberFormat="0" applyAlignment="0" applyProtection="0">
      <alignment vertical="center"/>
    </xf>
    <xf numFmtId="0" fontId="68" fillId="0" borderId="24" applyNumberFormat="0" applyFill="0" applyAlignment="0" applyProtection="0">
      <alignment vertical="center"/>
    </xf>
    <xf numFmtId="0" fontId="69" fillId="0" borderId="25" applyNumberFormat="0" applyFill="0" applyAlignment="0" applyProtection="0">
      <alignment vertical="center"/>
    </xf>
    <xf numFmtId="0" fontId="70" fillId="16" borderId="0" applyNumberFormat="0" applyBorder="0" applyAlignment="0" applyProtection="0">
      <alignment vertical="center"/>
    </xf>
    <xf numFmtId="0" fontId="71" fillId="17" borderId="0" applyNumberFormat="0" applyBorder="0" applyAlignment="0" applyProtection="0">
      <alignment vertical="center"/>
    </xf>
    <xf numFmtId="0" fontId="72" fillId="18" borderId="0" applyNumberFormat="0" applyBorder="0" applyAlignment="0" applyProtection="0">
      <alignment vertical="center"/>
    </xf>
    <xf numFmtId="0" fontId="73" fillId="19" borderId="0" applyNumberFormat="0" applyBorder="0" applyAlignment="0" applyProtection="0">
      <alignment vertical="center"/>
    </xf>
    <xf numFmtId="0" fontId="74" fillId="20" borderId="0" applyNumberFormat="0" applyBorder="0" applyAlignment="0" applyProtection="0">
      <alignment vertical="center"/>
    </xf>
    <xf numFmtId="0" fontId="74" fillId="21" borderId="0" applyNumberFormat="0" applyBorder="0" applyAlignment="0" applyProtection="0">
      <alignment vertical="center"/>
    </xf>
    <xf numFmtId="0" fontId="73" fillId="22" borderId="0" applyNumberFormat="0" applyBorder="0" applyAlignment="0" applyProtection="0">
      <alignment vertical="center"/>
    </xf>
    <xf numFmtId="0" fontId="73" fillId="23" borderId="0" applyNumberFormat="0" applyBorder="0" applyAlignment="0" applyProtection="0">
      <alignment vertical="center"/>
    </xf>
    <xf numFmtId="0" fontId="74" fillId="24" borderId="0" applyNumberFormat="0" applyBorder="0" applyAlignment="0" applyProtection="0">
      <alignment vertical="center"/>
    </xf>
    <xf numFmtId="0" fontId="74" fillId="25" borderId="0" applyNumberFormat="0" applyBorder="0" applyAlignment="0" applyProtection="0">
      <alignment vertical="center"/>
    </xf>
    <xf numFmtId="0" fontId="73" fillId="26" borderId="0" applyNumberFormat="0" applyBorder="0" applyAlignment="0" applyProtection="0">
      <alignment vertical="center"/>
    </xf>
    <xf numFmtId="0" fontId="73" fillId="27" borderId="0" applyNumberFormat="0" applyBorder="0" applyAlignment="0" applyProtection="0">
      <alignment vertical="center"/>
    </xf>
    <xf numFmtId="0" fontId="74" fillId="28" borderId="0" applyNumberFormat="0" applyBorder="0" applyAlignment="0" applyProtection="0">
      <alignment vertical="center"/>
    </xf>
    <xf numFmtId="0" fontId="74" fillId="29" borderId="0" applyNumberFormat="0" applyBorder="0" applyAlignment="0" applyProtection="0">
      <alignment vertical="center"/>
    </xf>
    <xf numFmtId="0" fontId="73" fillId="30" borderId="0" applyNumberFormat="0" applyBorder="0" applyAlignment="0" applyProtection="0">
      <alignment vertical="center"/>
    </xf>
    <xf numFmtId="0" fontId="73" fillId="31" borderId="0" applyNumberFormat="0" applyBorder="0" applyAlignment="0" applyProtection="0">
      <alignment vertical="center"/>
    </xf>
    <xf numFmtId="0" fontId="74" fillId="32" borderId="0" applyNumberFormat="0" applyBorder="0" applyAlignment="0" applyProtection="0">
      <alignment vertical="center"/>
    </xf>
    <xf numFmtId="0" fontId="74" fillId="33" borderId="0" applyNumberFormat="0" applyBorder="0" applyAlignment="0" applyProtection="0">
      <alignment vertical="center"/>
    </xf>
    <xf numFmtId="0" fontId="73" fillId="34" borderId="0" applyNumberFormat="0" applyBorder="0" applyAlignment="0" applyProtection="0">
      <alignment vertical="center"/>
    </xf>
    <xf numFmtId="0" fontId="73" fillId="35" borderId="0" applyNumberFormat="0" applyBorder="0" applyAlignment="0" applyProtection="0">
      <alignment vertical="center"/>
    </xf>
    <xf numFmtId="0" fontId="74" fillId="36" borderId="0" applyNumberFormat="0" applyBorder="0" applyAlignment="0" applyProtection="0">
      <alignment vertical="center"/>
    </xf>
    <xf numFmtId="0" fontId="74" fillId="37" borderId="0" applyNumberFormat="0" applyBorder="0" applyAlignment="0" applyProtection="0">
      <alignment vertical="center"/>
    </xf>
    <xf numFmtId="0" fontId="73" fillId="38" borderId="0" applyNumberFormat="0" applyBorder="0" applyAlignment="0" applyProtection="0">
      <alignment vertical="center"/>
    </xf>
    <xf numFmtId="0" fontId="73" fillId="39" borderId="0" applyNumberFormat="0" applyBorder="0" applyAlignment="0" applyProtection="0">
      <alignment vertical="center"/>
    </xf>
    <xf numFmtId="0" fontId="74" fillId="40" borderId="0" applyNumberFormat="0" applyBorder="0" applyAlignment="0" applyProtection="0">
      <alignment vertical="center"/>
    </xf>
    <xf numFmtId="0" fontId="74" fillId="41" borderId="0" applyNumberFormat="0" applyBorder="0" applyAlignment="0" applyProtection="0">
      <alignment vertical="center"/>
    </xf>
    <xf numFmtId="0" fontId="73" fillId="42" borderId="0" applyNumberFormat="0" applyBorder="0" applyAlignment="0" applyProtection="0">
      <alignment vertical="center"/>
    </xf>
    <xf numFmtId="0" fontId="75" fillId="0" borderId="0">
      <protection locked="0"/>
    </xf>
    <xf numFmtId="177" fontId="76" fillId="0" borderId="0"/>
    <xf numFmtId="177" fontId="77" fillId="0" borderId="0"/>
    <xf numFmtId="178" fontId="77" fillId="0" borderId="0"/>
    <xf numFmtId="179" fontId="78" fillId="0" borderId="0" applyFill="0" applyBorder="0" applyProtection="0">
      <alignment horizontal="right" vertical="center"/>
    </xf>
    <xf numFmtId="9" fontId="77" fillId="0" borderId="0" applyFont="0" applyFill="0" applyBorder="0" applyAlignment="0" applyProtection="0"/>
    <xf numFmtId="176" fontId="79" fillId="0" borderId="0" applyFont="0" applyFill="0" applyBorder="0" applyAlignment="0" applyProtection="0">
      <alignment vertical="center"/>
    </xf>
    <xf numFmtId="176" fontId="80" fillId="0" borderId="0" applyFont="0" applyFill="0" applyBorder="0" applyAlignment="0" applyProtection="0"/>
    <xf numFmtId="176" fontId="77" fillId="0" borderId="0" applyFont="0" applyFill="0" applyBorder="0" applyAlignment="0" applyProtection="0"/>
    <xf numFmtId="0" fontId="76" fillId="0" borderId="0"/>
    <xf numFmtId="0" fontId="77" fillId="0" borderId="0"/>
  </cellStyleXfs>
  <cellXfs count="507">
    <xf numFmtId="0" fontId="0" fillId="0" borderId="0" xfId="0"/>
    <xf numFmtId="0" fontId="1" fillId="2" borderId="0" xfId="0" applyFont="1" applyFill="1"/>
    <xf numFmtId="0" fontId="1" fillId="0" borderId="0" xfId="0" applyFont="1"/>
    <xf numFmtId="0" fontId="2" fillId="0" borderId="0" xfId="0" applyFont="1"/>
    <xf numFmtId="0" fontId="3" fillId="0" borderId="1" xfId="0" applyFont="1" applyBorder="1"/>
    <xf numFmtId="0" fontId="3" fillId="0" borderId="1" xfId="0" applyFont="1" applyBorder="1" applyAlignment="1">
      <alignment horizontal="right"/>
    </xf>
    <xf numFmtId="180" fontId="3" fillId="0" borderId="1" xfId="0" applyNumberFormat="1" applyFont="1" applyBorder="1" applyAlignment="1">
      <alignment horizontal="right"/>
    </xf>
    <xf numFmtId="181" fontId="3" fillId="0" borderId="1" xfId="0" applyNumberFormat="1" applyFont="1" applyBorder="1" applyAlignment="1">
      <alignment horizontal="right"/>
    </xf>
    <xf numFmtId="0" fontId="3" fillId="0" borderId="0" xfId="0" applyFont="1"/>
    <xf numFmtId="182" fontId="2" fillId="0" borderId="0" xfId="0" applyNumberFormat="1" applyFont="1"/>
    <xf numFmtId="182" fontId="4" fillId="0" borderId="0" xfId="0" applyNumberFormat="1" applyFont="1"/>
    <xf numFmtId="0" fontId="5" fillId="0" borderId="0" xfId="0" applyFont="1"/>
    <xf numFmtId="182" fontId="1" fillId="0" borderId="0" xfId="0" applyNumberFormat="1" applyFont="1"/>
    <xf numFmtId="182" fontId="6" fillId="0" borderId="0" xfId="0" applyNumberFormat="1" applyFont="1"/>
    <xf numFmtId="0" fontId="7" fillId="0" borderId="0" xfId="0" applyFont="1"/>
    <xf numFmtId="183" fontId="1" fillId="0" borderId="0" xfId="0" applyNumberFormat="1" applyFont="1" applyAlignment="1">
      <alignment horizontal="right" vertical="center"/>
    </xf>
    <xf numFmtId="183" fontId="1" fillId="0" borderId="0" xfId="0" applyNumberFormat="1" applyFont="1"/>
    <xf numFmtId="182" fontId="3" fillId="0" borderId="0" xfId="0" applyNumberFormat="1" applyFont="1"/>
    <xf numFmtId="0" fontId="4" fillId="0" borderId="0" xfId="0" applyFont="1" applyAlignment="1">
      <alignment horizontal="right"/>
    </xf>
    <xf numFmtId="180" fontId="4" fillId="0" borderId="0" xfId="0" applyNumberFormat="1" applyFont="1" applyAlignment="1">
      <alignment horizontal="right"/>
    </xf>
    <xf numFmtId="181" fontId="4" fillId="0" borderId="0" xfId="0" applyNumberFormat="1" applyFont="1" applyAlignment="1">
      <alignment horizontal="right"/>
    </xf>
    <xf numFmtId="184" fontId="2" fillId="0" borderId="0" xfId="0" applyNumberFormat="1" applyFont="1"/>
    <xf numFmtId="184" fontId="4" fillId="0" borderId="0" xfId="0" applyNumberFormat="1" applyFont="1"/>
    <xf numFmtId="184" fontId="2" fillId="0" borderId="0" xfId="56" applyNumberFormat="1" applyFont="1" applyFill="1" applyBorder="1" applyAlignment="1">
      <alignment horizontal="right"/>
    </xf>
    <xf numFmtId="181" fontId="4" fillId="0" borderId="1" xfId="0" applyNumberFormat="1" applyFont="1" applyBorder="1" applyAlignment="1">
      <alignment horizontal="right"/>
    </xf>
    <xf numFmtId="3" fontId="4" fillId="0" borderId="0" xfId="0" applyNumberFormat="1" applyFont="1"/>
    <xf numFmtId="179" fontId="2" fillId="0" borderId="0" xfId="0" applyNumberFormat="1" applyFont="1"/>
    <xf numFmtId="3" fontId="2" fillId="0" borderId="0" xfId="0" applyNumberFormat="1" applyFont="1"/>
    <xf numFmtId="183" fontId="2" fillId="0" borderId="0" xfId="0" applyNumberFormat="1" applyFont="1"/>
    <xf numFmtId="185" fontId="2" fillId="0" borderId="0" xfId="0" applyNumberFormat="1" applyFont="1"/>
    <xf numFmtId="186" fontId="2" fillId="0" borderId="0" xfId="1" applyNumberFormat="1" applyFont="1"/>
    <xf numFmtId="184" fontId="1" fillId="0" borderId="0" xfId="56" applyNumberFormat="1" applyFont="1" applyFill="1" applyBorder="1" applyAlignment="1">
      <alignment horizontal="right"/>
    </xf>
    <xf numFmtId="184" fontId="1" fillId="0" borderId="0" xfId="0" applyNumberFormat="1" applyFont="1"/>
    <xf numFmtId="179" fontId="4" fillId="0" borderId="0" xfId="0" applyNumberFormat="1" applyFont="1"/>
    <xf numFmtId="3" fontId="8" fillId="0" borderId="0" xfId="0" applyNumberFormat="1" applyFont="1"/>
    <xf numFmtId="3" fontId="6" fillId="0" borderId="0" xfId="0" applyNumberFormat="1" applyFont="1"/>
    <xf numFmtId="0" fontId="6" fillId="0" borderId="0" xfId="0" applyFont="1"/>
    <xf numFmtId="187" fontId="6" fillId="0" borderId="0" xfId="0" applyNumberFormat="1" applyFont="1" applyAlignment="1">
      <alignment horizontal="right"/>
    </xf>
    <xf numFmtId="187" fontId="1" fillId="0" borderId="0" xfId="0" applyNumberFormat="1" applyFont="1"/>
    <xf numFmtId="3" fontId="1" fillId="0" borderId="0" xfId="0" applyNumberFormat="1" applyFont="1"/>
    <xf numFmtId="185" fontId="1" fillId="0" borderId="0" xfId="0" applyNumberFormat="1" applyFont="1"/>
    <xf numFmtId="185" fontId="1" fillId="2" borderId="0" xfId="0" applyNumberFormat="1" applyFont="1" applyFill="1"/>
    <xf numFmtId="187" fontId="6" fillId="0" borderId="0" xfId="0" applyNumberFormat="1" applyFont="1"/>
    <xf numFmtId="188" fontId="1" fillId="0" borderId="0" xfId="0" applyNumberFormat="1" applyFont="1"/>
    <xf numFmtId="0" fontId="9" fillId="0" borderId="0" xfId="0" applyFont="1"/>
    <xf numFmtId="185" fontId="6" fillId="0" borderId="0" xfId="0" applyNumberFormat="1" applyFont="1"/>
    <xf numFmtId="183" fontId="6" fillId="0" borderId="0" xfId="0" applyNumberFormat="1" applyFont="1"/>
    <xf numFmtId="0" fontId="10" fillId="0" borderId="0" xfId="0" applyFont="1"/>
    <xf numFmtId="185" fontId="2" fillId="2" borderId="0" xfId="0" applyNumberFormat="1" applyFont="1" applyFill="1"/>
    <xf numFmtId="187" fontId="2" fillId="0" borderId="0" xfId="0" applyNumberFormat="1" applyFont="1"/>
    <xf numFmtId="188" fontId="2" fillId="0" borderId="0" xfId="0" applyNumberFormat="1" applyFont="1"/>
    <xf numFmtId="184" fontId="3" fillId="0" borderId="0" xfId="0" applyNumberFormat="1" applyFont="1"/>
    <xf numFmtId="0" fontId="11" fillId="0" borderId="0" xfId="0" applyFont="1"/>
    <xf numFmtId="0" fontId="4" fillId="0" borderId="1" xfId="0" applyFont="1" applyBorder="1"/>
    <xf numFmtId="0" fontId="12" fillId="0" borderId="0" xfId="0" applyFont="1"/>
    <xf numFmtId="0" fontId="3" fillId="0" borderId="0" xfId="0" applyFont="1" applyAlignment="1">
      <alignment horizontal="right"/>
    </xf>
    <xf numFmtId="180" fontId="3" fillId="0" borderId="0" xfId="0" applyNumberFormat="1" applyFont="1" applyAlignment="1">
      <alignment horizontal="right"/>
    </xf>
    <xf numFmtId="181" fontId="3" fillId="0" borderId="0" xfId="0" applyNumberFormat="1" applyFont="1" applyAlignment="1">
      <alignment horizontal="right"/>
    </xf>
    <xf numFmtId="0" fontId="4" fillId="0" borderId="0" xfId="0" applyFont="1"/>
    <xf numFmtId="0" fontId="2" fillId="0" borderId="0" xfId="0" applyFont="1" applyAlignment="1">
      <alignment horizontal="left" vertical="center" wrapText="1"/>
    </xf>
    <xf numFmtId="10" fontId="2" fillId="0" borderId="0" xfId="0" applyNumberFormat="1" applyFont="1"/>
    <xf numFmtId="10" fontId="2" fillId="0" borderId="0" xfId="0" applyNumberFormat="1" applyFont="1" applyAlignment="1">
      <alignment horizontal="right"/>
    </xf>
    <xf numFmtId="0" fontId="4" fillId="0" borderId="0" xfId="0" applyFont="1" applyAlignment="1">
      <alignment vertical="center" wrapText="1"/>
    </xf>
    <xf numFmtId="189" fontId="2" fillId="0" borderId="0" xfId="0" applyNumberFormat="1" applyFont="1" applyAlignment="1">
      <alignment horizontal="right"/>
    </xf>
    <xf numFmtId="183" fontId="2" fillId="0" borderId="0" xfId="0" applyNumberFormat="1" applyFont="1" applyAlignment="1">
      <alignment horizontal="right"/>
    </xf>
    <xf numFmtId="190" fontId="2" fillId="0" borderId="0" xfId="0" applyNumberFormat="1" applyFont="1"/>
    <xf numFmtId="187" fontId="2" fillId="0" borderId="0" xfId="0" applyNumberFormat="1" applyFont="1" applyAlignment="1">
      <alignment horizontal="right"/>
    </xf>
    <xf numFmtId="184" fontId="2" fillId="0" borderId="0" xfId="0" applyNumberFormat="1" applyFont="1" applyAlignment="1">
      <alignment horizontal="right"/>
    </xf>
    <xf numFmtId="191" fontId="2" fillId="0" borderId="0" xfId="0" applyNumberFormat="1" applyFont="1" applyAlignment="1">
      <alignment horizontal="right"/>
    </xf>
    <xf numFmtId="191" fontId="2" fillId="0" borderId="0" xfId="0" applyNumberFormat="1" applyFont="1"/>
    <xf numFmtId="192" fontId="2" fillId="0" borderId="0" xfId="0" applyNumberFormat="1" applyFont="1"/>
    <xf numFmtId="189" fontId="2" fillId="0" borderId="0" xfId="0" applyNumberFormat="1" applyFont="1"/>
    <xf numFmtId="3" fontId="2" fillId="0" borderId="0" xfId="0" applyNumberFormat="1" applyFont="1" applyAlignment="1">
      <alignment horizontal="right"/>
    </xf>
    <xf numFmtId="190" fontId="2" fillId="0" borderId="0" xfId="0" applyNumberFormat="1" applyFont="1" applyAlignment="1">
      <alignment horizontal="right"/>
    </xf>
    <xf numFmtId="185" fontId="4" fillId="0" borderId="0" xfId="0" applyNumberFormat="1" applyFont="1"/>
    <xf numFmtId="0" fontId="4" fillId="0" borderId="0" xfId="0" applyFont="1" applyAlignment="1">
      <alignment horizontal="left" vertical="center" wrapText="1"/>
    </xf>
    <xf numFmtId="193" fontId="2" fillId="0" borderId="0" xfId="0" applyNumberFormat="1" applyFont="1"/>
    <xf numFmtId="38" fontId="2" fillId="0" borderId="0" xfId="0" applyNumberFormat="1" applyFont="1"/>
    <xf numFmtId="194" fontId="2" fillId="0" borderId="0" xfId="0" applyNumberFormat="1" applyFont="1"/>
    <xf numFmtId="176" fontId="2" fillId="0" borderId="0" xfId="1" applyFont="1" applyFill="1"/>
    <xf numFmtId="183" fontId="9" fillId="0" borderId="0" xfId="0" applyNumberFormat="1" applyFont="1"/>
    <xf numFmtId="183" fontId="12" fillId="0" borderId="0" xfId="0" applyNumberFormat="1" applyFont="1"/>
    <xf numFmtId="183" fontId="12" fillId="2" borderId="0" xfId="0" applyNumberFormat="1" applyFont="1" applyFill="1"/>
    <xf numFmtId="0" fontId="13" fillId="0" borderId="0" xfId="0" applyFont="1"/>
    <xf numFmtId="0" fontId="1" fillId="0" borderId="2" xfId="0" applyFont="1" applyBorder="1"/>
    <xf numFmtId="195" fontId="12" fillId="0" borderId="2" xfId="0" applyNumberFormat="1" applyFont="1" applyBorder="1"/>
    <xf numFmtId="196" fontId="12" fillId="0" borderId="0" xfId="0" applyNumberFormat="1" applyFont="1"/>
    <xf numFmtId="196" fontId="1" fillId="0" borderId="0" xfId="0" applyNumberFormat="1" applyFont="1"/>
    <xf numFmtId="0" fontId="1" fillId="0" borderId="0" xfId="0" applyFont="1" applyAlignment="1">
      <alignment horizontal="left"/>
    </xf>
    <xf numFmtId="182" fontId="12" fillId="0" borderId="0" xfId="0" applyNumberFormat="1" applyFont="1"/>
    <xf numFmtId="3" fontId="12" fillId="0" borderId="0" xfId="0" applyNumberFormat="1" applyFont="1"/>
    <xf numFmtId="9" fontId="14" fillId="0" borderId="0" xfId="0" applyNumberFormat="1" applyFont="1"/>
    <xf numFmtId="9" fontId="12" fillId="0" borderId="0" xfId="0" applyNumberFormat="1" applyFont="1"/>
    <xf numFmtId="181" fontId="15" fillId="0" borderId="1" xfId="0" applyNumberFormat="1" applyFont="1" applyBorder="1" applyAlignment="1">
      <alignment horizontal="right"/>
    </xf>
    <xf numFmtId="0" fontId="16" fillId="3" borderId="0" xfId="0" applyFont="1" applyFill="1" applyAlignment="1">
      <alignment horizontal="center"/>
    </xf>
    <xf numFmtId="197" fontId="3" fillId="0" borderId="0" xfId="0" applyNumberFormat="1" applyFont="1"/>
    <xf numFmtId="198" fontId="3" fillId="0" borderId="0" xfId="0" applyNumberFormat="1" applyFont="1"/>
    <xf numFmtId="183" fontId="3" fillId="0" borderId="0" xfId="0" applyNumberFormat="1" applyFont="1"/>
    <xf numFmtId="199" fontId="3" fillId="0" borderId="0" xfId="0" applyNumberFormat="1" applyFont="1"/>
    <xf numFmtId="199" fontId="1" fillId="0" borderId="0" xfId="0" applyNumberFormat="1" applyFont="1"/>
    <xf numFmtId="0" fontId="1" fillId="0" borderId="0" xfId="0" applyFont="1" applyAlignment="1">
      <alignment horizontal="center" vertical="center"/>
    </xf>
    <xf numFmtId="0" fontId="16" fillId="4" borderId="0" xfId="0" applyFont="1" applyFill="1" applyAlignment="1">
      <alignment horizontal="center" vertical="center"/>
    </xf>
    <xf numFmtId="58" fontId="17" fillId="0" borderId="0" xfId="0" applyNumberFormat="1" applyFont="1" applyAlignment="1">
      <alignment horizontal="center" vertical="center"/>
    </xf>
    <xf numFmtId="200" fontId="3" fillId="0" borderId="0" xfId="0" applyNumberFormat="1" applyFont="1" applyAlignment="1">
      <alignment horizontal="center" vertical="center"/>
    </xf>
    <xf numFmtId="0" fontId="18" fillId="4" borderId="0" xfId="0" applyFont="1" applyFill="1" applyAlignment="1">
      <alignment horizontal="center" vertical="center"/>
    </xf>
    <xf numFmtId="58" fontId="1" fillId="0" borderId="0" xfId="0" applyNumberFormat="1" applyFont="1" applyAlignment="1">
      <alignment horizontal="center" vertical="center"/>
    </xf>
    <xf numFmtId="200" fontId="1" fillId="0" borderId="0" xfId="0" applyNumberFormat="1" applyFont="1" applyAlignment="1">
      <alignment horizontal="center" vertical="center"/>
    </xf>
    <xf numFmtId="0" fontId="18" fillId="4" borderId="0" xfId="0" applyFont="1" applyFill="1"/>
    <xf numFmtId="0" fontId="3" fillId="4" borderId="0" xfId="0" applyFont="1" applyFill="1"/>
    <xf numFmtId="190" fontId="3" fillId="0" borderId="0" xfId="0" applyNumberFormat="1" applyFont="1"/>
    <xf numFmtId="190" fontId="1" fillId="0" borderId="0" xfId="0" applyNumberFormat="1" applyFont="1"/>
    <xf numFmtId="201" fontId="1" fillId="0" borderId="0" xfId="0" applyNumberFormat="1" applyFont="1"/>
    <xf numFmtId="183" fontId="1" fillId="2" borderId="0" xfId="0" applyNumberFormat="1" applyFont="1" applyFill="1"/>
    <xf numFmtId="190" fontId="5" fillId="5" borderId="0" xfId="0" applyNumberFormat="1" applyFont="1" applyFill="1"/>
    <xf numFmtId="183" fontId="5" fillId="5" borderId="0" xfId="0" applyNumberFormat="1" applyFont="1" applyFill="1"/>
    <xf numFmtId="190" fontId="1" fillId="5" borderId="0" xfId="0" applyNumberFormat="1" applyFont="1" applyFill="1"/>
    <xf numFmtId="183" fontId="1" fillId="5" borderId="0" xfId="0" applyNumberFormat="1" applyFont="1" applyFill="1"/>
    <xf numFmtId="198" fontId="1" fillId="0" borderId="0" xfId="0" applyNumberFormat="1" applyFont="1"/>
    <xf numFmtId="0" fontId="16" fillId="0" borderId="0" xfId="0" applyFont="1" applyAlignment="1">
      <alignment horizontal="center"/>
    </xf>
    <xf numFmtId="0" fontId="18" fillId="4" borderId="0" xfId="0" applyFont="1" applyFill="1" applyAlignment="1">
      <alignment horizontal="center"/>
    </xf>
    <xf numFmtId="202" fontId="1" fillId="0" borderId="0" xfId="0" applyNumberFormat="1" applyFont="1"/>
    <xf numFmtId="190" fontId="1" fillId="0" borderId="0" xfId="0" applyNumberFormat="1" applyFont="1" applyAlignment="1">
      <alignment horizontal="right"/>
    </xf>
    <xf numFmtId="10" fontId="1" fillId="0" borderId="0" xfId="0" applyNumberFormat="1" applyFont="1"/>
    <xf numFmtId="199" fontId="19" fillId="0" borderId="0" xfId="0" applyNumberFormat="1" applyFont="1"/>
    <xf numFmtId="200" fontId="20" fillId="0" borderId="0" xfId="0" applyNumberFormat="1" applyFont="1"/>
    <xf numFmtId="183" fontId="3" fillId="0" borderId="0" xfId="0" applyNumberFormat="1" applyFont="1" applyAlignment="1">
      <alignment horizontal="right"/>
    </xf>
    <xf numFmtId="183" fontId="20" fillId="0" borderId="0" xfId="0" applyNumberFormat="1" applyFont="1"/>
    <xf numFmtId="0" fontId="3" fillId="2" borderId="3" xfId="0" applyFont="1" applyFill="1" applyBorder="1"/>
    <xf numFmtId="0" fontId="1" fillId="2" borderId="3" xfId="0" applyFont="1" applyFill="1" applyBorder="1"/>
    <xf numFmtId="0" fontId="18" fillId="0" borderId="0" xfId="0" applyFont="1" applyAlignment="1">
      <alignment horizontal="center"/>
    </xf>
    <xf numFmtId="0" fontId="18" fillId="0" borderId="0" xfId="0" applyFont="1"/>
    <xf numFmtId="199" fontId="3" fillId="2" borderId="0" xfId="0" applyNumberFormat="1" applyFont="1" applyFill="1" applyAlignment="1">
      <alignment vertical="center"/>
    </xf>
    <xf numFmtId="0" fontId="3" fillId="6" borderId="0" xfId="0" applyFont="1" applyFill="1" applyAlignment="1">
      <alignment horizontal="center" vertical="center"/>
    </xf>
    <xf numFmtId="200" fontId="3" fillId="0" borderId="0" xfId="0" applyNumberFormat="1" applyFont="1" applyAlignment="1">
      <alignment horizontal="center"/>
    </xf>
    <xf numFmtId="199" fontId="3" fillId="2" borderId="0" xfId="0" applyNumberFormat="1" applyFont="1" applyFill="1" applyAlignment="1">
      <alignment horizontal="center"/>
    </xf>
    <xf numFmtId="183" fontId="3" fillId="0" borderId="0" xfId="0" applyNumberFormat="1" applyFont="1" applyAlignment="1">
      <alignment horizontal="center"/>
    </xf>
    <xf numFmtId="183" fontId="3" fillId="2" borderId="0" xfId="0" applyNumberFormat="1" applyFont="1" applyFill="1" applyAlignment="1">
      <alignment horizontal="center"/>
    </xf>
    <xf numFmtId="0" fontId="1" fillId="0" borderId="0" xfId="0" applyFont="1" applyAlignment="1">
      <alignment horizontal="left" vertical="center" wrapText="1"/>
    </xf>
    <xf numFmtId="199" fontId="3" fillId="2" borderId="3" xfId="0" applyNumberFormat="1" applyFont="1" applyFill="1" applyBorder="1"/>
    <xf numFmtId="3" fontId="3" fillId="0" borderId="0" xfId="0" applyNumberFormat="1" applyFont="1"/>
    <xf numFmtId="0" fontId="1" fillId="4" borderId="0" xfId="0" applyFont="1" applyFill="1"/>
    <xf numFmtId="0" fontId="21" fillId="0" borderId="0" xfId="0" applyFont="1"/>
    <xf numFmtId="201" fontId="3" fillId="0" borderId="0" xfId="0" applyNumberFormat="1" applyFont="1"/>
    <xf numFmtId="190" fontId="3" fillId="2" borderId="3" xfId="0" applyNumberFormat="1" applyFont="1" applyFill="1" applyBorder="1"/>
    <xf numFmtId="198" fontId="3" fillId="2" borderId="3" xfId="0" applyNumberFormat="1" applyFont="1" applyFill="1" applyBorder="1"/>
    <xf numFmtId="9" fontId="1" fillId="0" borderId="0" xfId="0" applyNumberFormat="1" applyFont="1"/>
    <xf numFmtId="200" fontId="1" fillId="0" borderId="0" xfId="0" applyNumberFormat="1" applyFont="1"/>
    <xf numFmtId="198" fontId="1" fillId="2" borderId="0" xfId="0" applyNumberFormat="1" applyFont="1" applyFill="1"/>
    <xf numFmtId="200" fontId="3" fillId="0" borderId="0" xfId="0" applyNumberFormat="1" applyFont="1"/>
    <xf numFmtId="0" fontId="22" fillId="4" borderId="0" xfId="0" applyFont="1" applyFill="1"/>
    <xf numFmtId="201" fontId="3" fillId="2" borderId="3" xfId="0" applyNumberFormat="1" applyFont="1" applyFill="1" applyBorder="1"/>
    <xf numFmtId="0" fontId="23" fillId="0" borderId="0" xfId="0" applyFont="1"/>
    <xf numFmtId="0" fontId="3" fillId="0" borderId="4" xfId="0" applyFont="1" applyBorder="1"/>
    <xf numFmtId="0" fontId="3" fillId="0" borderId="5" xfId="0" applyFont="1" applyBorder="1"/>
    <xf numFmtId="0" fontId="24" fillId="0" borderId="0" xfId="0" applyFont="1"/>
    <xf numFmtId="0" fontId="16" fillId="3" borderId="1" xfId="0" applyFont="1" applyFill="1" applyBorder="1" applyAlignment="1">
      <alignment horizontal="center"/>
    </xf>
    <xf numFmtId="0" fontId="25" fillId="4" borderId="0" xfId="0" applyFont="1" applyFill="1"/>
    <xf numFmtId="0" fontId="26" fillId="0" borderId="0" xfId="0" applyFont="1"/>
    <xf numFmtId="0" fontId="21" fillId="0" borderId="0" xfId="0" applyFont="1" applyAlignment="1">
      <alignment horizontal="center"/>
    </xf>
    <xf numFmtId="179" fontId="27" fillId="0" borderId="0" xfId="53" applyFont="1" applyFill="1">
      <alignment horizontal="right" vertical="center"/>
    </xf>
    <xf numFmtId="183" fontId="1" fillId="0" borderId="0" xfId="53" applyNumberFormat="1" applyFont="1" applyFill="1">
      <alignment horizontal="right" vertical="center"/>
    </xf>
    <xf numFmtId="190" fontId="1" fillId="0" borderId="0" xfId="53" applyNumberFormat="1" applyFont="1" applyFill="1">
      <alignment horizontal="right" vertical="center"/>
    </xf>
    <xf numFmtId="3" fontId="4" fillId="0" borderId="0" xfId="49" applyNumberFormat="1" applyFont="1" applyAlignment="1" applyProtection="1">
      <alignment horizontal="right" vertical="center"/>
    </xf>
    <xf numFmtId="190" fontId="28" fillId="0" borderId="0" xfId="0" applyNumberFormat="1" applyFont="1"/>
    <xf numFmtId="179" fontId="8" fillId="0" borderId="0" xfId="53" applyFont="1" applyFill="1">
      <alignment horizontal="right" vertical="center"/>
    </xf>
    <xf numFmtId="183" fontId="1" fillId="5" borderId="0" xfId="53" applyNumberFormat="1" applyFont="1" applyFill="1">
      <alignment horizontal="right" vertical="center"/>
    </xf>
    <xf numFmtId="183" fontId="6" fillId="0" borderId="0" xfId="53" applyNumberFormat="1" applyFont="1" applyFill="1">
      <alignment horizontal="right" vertical="center"/>
    </xf>
    <xf numFmtId="190" fontId="6" fillId="0" borderId="0" xfId="53" applyNumberFormat="1" applyFont="1" applyFill="1">
      <alignment horizontal="right" vertical="center"/>
    </xf>
    <xf numFmtId="179" fontId="29" fillId="0" borderId="0" xfId="53" applyFont="1" applyFill="1">
      <alignment horizontal="right" vertical="center"/>
    </xf>
    <xf numFmtId="183" fontId="3" fillId="5" borderId="0" xfId="0" applyNumberFormat="1" applyFont="1" applyFill="1"/>
    <xf numFmtId="183" fontId="28" fillId="0" borderId="0" xfId="0" applyNumberFormat="1" applyFont="1"/>
    <xf numFmtId="190" fontId="6" fillId="0" borderId="0" xfId="0" applyNumberFormat="1" applyFont="1"/>
    <xf numFmtId="0" fontId="30" fillId="0" borderId="0" xfId="0" applyFont="1"/>
    <xf numFmtId="199" fontId="6" fillId="0" borderId="0" xfId="0" applyNumberFormat="1" applyFont="1"/>
    <xf numFmtId="200" fontId="6" fillId="0" borderId="0" xfId="0" applyNumberFormat="1" applyFont="1"/>
    <xf numFmtId="0" fontId="16" fillId="4" borderId="0" xfId="0" applyFont="1" applyFill="1" applyAlignment="1">
      <alignment horizontal="center"/>
    </xf>
    <xf numFmtId="183" fontId="3" fillId="2" borderId="3" xfId="0" applyNumberFormat="1" applyFont="1" applyFill="1" applyBorder="1"/>
    <xf numFmtId="0" fontId="3" fillId="7" borderId="3" xfId="0" applyFont="1" applyFill="1" applyBorder="1"/>
    <xf numFmtId="0" fontId="1" fillId="6" borderId="0" xfId="0" applyFont="1" applyFill="1"/>
    <xf numFmtId="200" fontId="1" fillId="0" borderId="0" xfId="0" applyNumberFormat="1" applyFont="1" applyAlignment="1">
      <alignment horizontal="center"/>
    </xf>
    <xf numFmtId="183" fontId="1" fillId="0" borderId="0" xfId="0" applyNumberFormat="1" applyFont="1" applyAlignment="1">
      <alignment horizontal="center"/>
    </xf>
    <xf numFmtId="183" fontId="3" fillId="2" borderId="3" xfId="0" applyNumberFormat="1" applyFont="1" applyFill="1" applyBorder="1" applyAlignment="1">
      <alignment horizontal="right"/>
    </xf>
    <xf numFmtId="0" fontId="31" fillId="0" borderId="0" xfId="0" applyFont="1"/>
    <xf numFmtId="0" fontId="32" fillId="0" borderId="0" xfId="0" applyFont="1"/>
    <xf numFmtId="0" fontId="22" fillId="0" borderId="0" xfId="0" applyFont="1"/>
    <xf numFmtId="185" fontId="0" fillId="0" borderId="0" xfId="0" applyNumberFormat="1"/>
    <xf numFmtId="190" fontId="0" fillId="0" borderId="0" xfId="0" applyNumberFormat="1"/>
    <xf numFmtId="0" fontId="12" fillId="8" borderId="0" xfId="0" applyFont="1" applyFill="1"/>
    <xf numFmtId="0" fontId="0" fillId="8" borderId="0" xfId="0" applyFill="1"/>
    <xf numFmtId="0" fontId="33" fillId="0" borderId="1" xfId="0" applyFont="1" applyBorder="1"/>
    <xf numFmtId="0" fontId="33" fillId="0" borderId="0" xfId="0" applyFont="1"/>
    <xf numFmtId="0" fontId="33" fillId="8" borderId="0" xfId="0" applyFont="1" applyFill="1"/>
    <xf numFmtId="203" fontId="10" fillId="8" borderId="0" xfId="0" applyNumberFormat="1" applyFont="1" applyFill="1" applyAlignment="1">
      <alignment horizontal="center"/>
    </xf>
    <xf numFmtId="0" fontId="1" fillId="8" borderId="0" xfId="0" applyFont="1" applyFill="1"/>
    <xf numFmtId="37" fontId="10" fillId="8" borderId="0" xfId="0" applyNumberFormat="1" applyFont="1" applyFill="1" applyAlignment="1">
      <alignment horizontal="center"/>
    </xf>
    <xf numFmtId="0" fontId="1" fillId="9" borderId="0" xfId="0" applyFont="1" applyFill="1"/>
    <xf numFmtId="0" fontId="18" fillId="9" borderId="0" xfId="0" applyFont="1" applyFill="1"/>
    <xf numFmtId="0" fontId="34" fillId="9" borderId="0" xfId="0" applyFont="1" applyFill="1"/>
    <xf numFmtId="0" fontId="35" fillId="0" borderId="0" xfId="0" applyFont="1"/>
    <xf numFmtId="0" fontId="35" fillId="8" borderId="0" xfId="0" applyFont="1" applyFill="1"/>
    <xf numFmtId="0" fontId="35" fillId="4" borderId="0" xfId="0" applyFont="1" applyFill="1"/>
    <xf numFmtId="190" fontId="3" fillId="8" borderId="0" xfId="0" applyNumberFormat="1" applyFont="1" applyFill="1"/>
    <xf numFmtId="183" fontId="1" fillId="8" borderId="0" xfId="0" applyNumberFormat="1" applyFont="1" applyFill="1"/>
    <xf numFmtId="190" fontId="1" fillId="0" borderId="0" xfId="0" applyNumberFormat="1" applyFont="1" applyAlignment="1">
      <alignment horizontal="left"/>
    </xf>
    <xf numFmtId="190" fontId="1" fillId="8" borderId="0" xfId="0" applyNumberFormat="1" applyFont="1" applyFill="1"/>
    <xf numFmtId="183" fontId="1" fillId="0" borderId="0" xfId="0" applyNumberFormat="1" applyFont="1" applyAlignment="1">
      <alignment horizontal="left"/>
    </xf>
    <xf numFmtId="0" fontId="3" fillId="8" borderId="0" xfId="0" applyFont="1" applyFill="1"/>
    <xf numFmtId="183" fontId="2" fillId="8" borderId="0" xfId="0" applyNumberFormat="1" applyFont="1" applyFill="1"/>
    <xf numFmtId="0" fontId="3" fillId="0" borderId="3" xfId="0" applyFont="1" applyBorder="1"/>
    <xf numFmtId="190" fontId="3" fillId="8" borderId="3" xfId="0" applyNumberFormat="1" applyFont="1" applyFill="1" applyBorder="1"/>
    <xf numFmtId="0" fontId="36" fillId="4" borderId="0" xfId="0" applyFont="1" applyFill="1"/>
    <xf numFmtId="190" fontId="36" fillId="4" borderId="0" xfId="0" applyNumberFormat="1" applyFont="1" applyFill="1"/>
    <xf numFmtId="190" fontId="1" fillId="4" borderId="0" xfId="0" applyNumberFormat="1" applyFont="1" applyFill="1"/>
    <xf numFmtId="0" fontId="16" fillId="0" borderId="1" xfId="0" applyFont="1" applyBorder="1" applyAlignment="1">
      <alignment horizontal="center"/>
    </xf>
    <xf numFmtId="0" fontId="31" fillId="0" borderId="6" xfId="0" applyFont="1" applyBorder="1" applyAlignment="1">
      <alignment horizontal="center"/>
    </xf>
    <xf numFmtId="203" fontId="10" fillId="0" borderId="0" xfId="0" applyNumberFormat="1" applyFont="1" applyAlignment="1">
      <alignment horizontal="center"/>
    </xf>
    <xf numFmtId="37" fontId="10" fillId="0" borderId="0" xfId="0" applyNumberFormat="1" applyFont="1" applyAlignment="1">
      <alignment horizontal="center"/>
    </xf>
    <xf numFmtId="183" fontId="37" fillId="9" borderId="0" xfId="0" applyNumberFormat="1" applyFont="1" applyFill="1"/>
    <xf numFmtId="183" fontId="2" fillId="4" borderId="0" xfId="0" applyNumberFormat="1" applyFont="1" applyFill="1"/>
    <xf numFmtId="190" fontId="4" fillId="8" borderId="0" xfId="0" applyNumberFormat="1" applyFont="1" applyFill="1"/>
    <xf numFmtId="190" fontId="4" fillId="0" borderId="0" xfId="0" applyNumberFormat="1" applyFont="1"/>
    <xf numFmtId="190" fontId="2" fillId="8" borderId="0" xfId="0" applyNumberFormat="1" applyFont="1" applyFill="1"/>
    <xf numFmtId="190" fontId="3" fillId="0" borderId="3" xfId="0" applyNumberFormat="1" applyFont="1" applyBorder="1"/>
    <xf numFmtId="190" fontId="2" fillId="8" borderId="0" xfId="0" applyNumberFormat="1" applyFont="1" applyFill="1" applyAlignment="1">
      <alignment horizontal="right"/>
    </xf>
    <xf numFmtId="190" fontId="36" fillId="4" borderId="0" xfId="0" applyNumberFormat="1" applyFont="1" applyFill="1" applyAlignment="1">
      <alignment horizontal="right"/>
    </xf>
    <xf numFmtId="190" fontId="4" fillId="0" borderId="0" xfId="0" applyNumberFormat="1" applyFont="1" applyAlignment="1">
      <alignment horizontal="right"/>
    </xf>
    <xf numFmtId="0" fontId="16" fillId="0" borderId="1" xfId="0" applyFont="1" applyBorder="1"/>
    <xf numFmtId="183" fontId="1" fillId="4" borderId="0" xfId="0" applyNumberFormat="1" applyFont="1" applyFill="1"/>
    <xf numFmtId="0" fontId="0" fillId="0" borderId="0" xfId="0" applyAlignment="1">
      <alignment horizontal="center"/>
    </xf>
    <xf numFmtId="0" fontId="38" fillId="0" borderId="6" xfId="0" applyFont="1" applyBorder="1" applyAlignment="1">
      <alignment horizontal="center"/>
    </xf>
    <xf numFmtId="183" fontId="2" fillId="9" borderId="0" xfId="0" applyNumberFormat="1" applyFont="1" applyFill="1"/>
    <xf numFmtId="185" fontId="3" fillId="8" borderId="0" xfId="0" applyNumberFormat="1" applyFont="1" applyFill="1"/>
    <xf numFmtId="190" fontId="4" fillId="8" borderId="3" xfId="0" applyNumberFormat="1" applyFont="1" applyFill="1" applyBorder="1"/>
    <xf numFmtId="201" fontId="39" fillId="8" borderId="0" xfId="0" applyNumberFormat="1" applyFont="1" applyFill="1"/>
    <xf numFmtId="190" fontId="39" fillId="8" borderId="0" xfId="0" applyNumberFormat="1" applyFont="1" applyFill="1"/>
    <xf numFmtId="201" fontId="36" fillId="4" borderId="0" xfId="0" applyNumberFormat="1" applyFont="1" applyFill="1"/>
    <xf numFmtId="201" fontId="4" fillId="8" borderId="0" xfId="0" applyNumberFormat="1" applyFont="1" applyFill="1"/>
    <xf numFmtId="0" fontId="39" fillId="8" borderId="0" xfId="0" applyFont="1" applyFill="1"/>
    <xf numFmtId="190" fontId="40" fillId="8" borderId="0" xfId="0" applyNumberFormat="1" applyFont="1" applyFill="1"/>
    <xf numFmtId="0" fontId="40" fillId="8" borderId="0" xfId="0" applyFont="1" applyFill="1"/>
    <xf numFmtId="190" fontId="39" fillId="4" borderId="0" xfId="0" applyNumberFormat="1" applyFont="1" applyFill="1"/>
    <xf numFmtId="0" fontId="39" fillId="4" borderId="0" xfId="0" applyFont="1" applyFill="1"/>
    <xf numFmtId="185" fontId="41" fillId="0" borderId="0" xfId="0" applyNumberFormat="1" applyFont="1" applyAlignment="1">
      <alignment horizontal="right"/>
    </xf>
    <xf numFmtId="185" fontId="42" fillId="0" borderId="0" xfId="0" applyNumberFormat="1" applyFont="1"/>
    <xf numFmtId="0" fontId="34" fillId="0" borderId="0" xfId="0" applyFont="1"/>
    <xf numFmtId="190" fontId="40" fillId="0" borderId="0" xfId="0" applyNumberFormat="1" applyFont="1"/>
    <xf numFmtId="190" fontId="39" fillId="0" borderId="0" xfId="0" applyNumberFormat="1" applyFont="1"/>
    <xf numFmtId="201" fontId="40" fillId="0" borderId="0" xfId="0" applyNumberFormat="1" applyFont="1"/>
    <xf numFmtId="201" fontId="39" fillId="0" borderId="0" xfId="0" applyNumberFormat="1" applyFont="1"/>
    <xf numFmtId="201" fontId="4" fillId="0" borderId="0" xfId="0" applyNumberFormat="1" applyFont="1"/>
    <xf numFmtId="0" fontId="39" fillId="0" borderId="0" xfId="0" applyFont="1"/>
    <xf numFmtId="0" fontId="40" fillId="0" borderId="0" xfId="0" applyFont="1"/>
    <xf numFmtId="183" fontId="4" fillId="0" borderId="0" xfId="0" applyNumberFormat="1" applyFont="1"/>
    <xf numFmtId="190" fontId="28" fillId="8" borderId="0" xfId="0" applyNumberFormat="1" applyFont="1" applyFill="1"/>
    <xf numFmtId="0" fontId="35" fillId="0" borderId="3" xfId="0" applyFont="1" applyBorder="1"/>
    <xf numFmtId="183" fontId="3" fillId="0" borderId="0" xfId="0" applyNumberFormat="1" applyFont="1" applyAlignment="1">
      <alignment horizontal="left"/>
    </xf>
    <xf numFmtId="183" fontId="3" fillId="0" borderId="3" xfId="0" applyNumberFormat="1" applyFont="1" applyBorder="1" applyAlignment="1">
      <alignment horizontal="left"/>
    </xf>
    <xf numFmtId="9" fontId="2" fillId="0" borderId="0" xfId="0" applyNumberFormat="1" applyFont="1" applyAlignment="1">
      <alignment horizontal="right"/>
    </xf>
    <xf numFmtId="9" fontId="2" fillId="8" borderId="0" xfId="0" applyNumberFormat="1" applyFont="1" applyFill="1" applyAlignment="1">
      <alignment horizontal="right"/>
    </xf>
    <xf numFmtId="9" fontId="2" fillId="4" borderId="0" xfId="0" applyNumberFormat="1" applyFont="1" applyFill="1" applyAlignment="1">
      <alignment horizontal="right"/>
    </xf>
    <xf numFmtId="190" fontId="4" fillId="8" borderId="0" xfId="0" applyNumberFormat="1" applyFont="1" applyFill="1" applyAlignment="1">
      <alignment horizontal="right"/>
    </xf>
    <xf numFmtId="190" fontId="4" fillId="0" borderId="3" xfId="0" applyNumberFormat="1" applyFont="1" applyBorder="1" applyAlignment="1">
      <alignment horizontal="right"/>
    </xf>
    <xf numFmtId="190" fontId="4" fillId="8" borderId="3" xfId="0" applyNumberFormat="1" applyFont="1" applyFill="1" applyBorder="1" applyAlignment="1">
      <alignment horizontal="right"/>
    </xf>
    <xf numFmtId="9" fontId="39" fillId="8" borderId="0" xfId="0" applyNumberFormat="1" applyFont="1" applyFill="1" applyAlignment="1">
      <alignment horizontal="right"/>
    </xf>
    <xf numFmtId="9" fontId="39" fillId="4" borderId="0" xfId="0" applyNumberFormat="1" applyFont="1" applyFill="1" applyAlignment="1">
      <alignment horizontal="right"/>
    </xf>
    <xf numFmtId="9" fontId="40" fillId="8" borderId="0" xfId="0" applyNumberFormat="1" applyFont="1" applyFill="1" applyAlignment="1">
      <alignment horizontal="right"/>
    </xf>
    <xf numFmtId="9" fontId="4" fillId="8" borderId="0" xfId="0" applyNumberFormat="1" applyFont="1" applyFill="1" applyAlignment="1">
      <alignment horizontal="right"/>
    </xf>
    <xf numFmtId="190" fontId="1" fillId="8" borderId="0" xfId="0" applyNumberFormat="1" applyFont="1" applyFill="1" applyAlignment="1">
      <alignment horizontal="right"/>
    </xf>
    <xf numFmtId="185" fontId="1" fillId="8" borderId="0" xfId="0" applyNumberFormat="1" applyFont="1" applyFill="1" applyAlignment="1">
      <alignment horizontal="right"/>
    </xf>
    <xf numFmtId="190" fontId="3" fillId="8" borderId="0" xfId="0" applyNumberFormat="1" applyFont="1" applyFill="1" applyAlignment="1">
      <alignment horizontal="right"/>
    </xf>
    <xf numFmtId="183" fontId="1" fillId="8" borderId="0" xfId="0" applyNumberFormat="1" applyFont="1" applyFill="1" applyAlignment="1">
      <alignment horizontal="right"/>
    </xf>
    <xf numFmtId="183" fontId="2" fillId="8" borderId="0" xfId="0" applyNumberFormat="1" applyFont="1" applyFill="1" applyAlignment="1">
      <alignment horizontal="right"/>
    </xf>
    <xf numFmtId="9" fontId="1" fillId="8" borderId="0" xfId="0" applyNumberFormat="1" applyFont="1" applyFill="1" applyAlignment="1">
      <alignment horizontal="right"/>
    </xf>
    <xf numFmtId="9" fontId="3" fillId="8" borderId="0" xfId="0" applyNumberFormat="1" applyFont="1" applyFill="1" applyAlignment="1">
      <alignment horizontal="right"/>
    </xf>
    <xf numFmtId="190" fontId="3" fillId="8" borderId="3" xfId="0" applyNumberFormat="1" applyFont="1" applyFill="1" applyBorder="1" applyAlignment="1">
      <alignment horizontal="right"/>
    </xf>
    <xf numFmtId="9" fontId="4" fillId="0" borderId="0" xfId="0" applyNumberFormat="1" applyFont="1" applyAlignment="1">
      <alignment horizontal="right"/>
    </xf>
    <xf numFmtId="199" fontId="39" fillId="8" borderId="0" xfId="0" applyNumberFormat="1" applyFont="1" applyFill="1" applyAlignment="1">
      <alignment horizontal="right"/>
    </xf>
    <xf numFmtId="9" fontId="4" fillId="0" borderId="3" xfId="0" applyNumberFormat="1" applyFont="1" applyBorder="1" applyAlignment="1">
      <alignment horizontal="right"/>
    </xf>
    <xf numFmtId="183" fontId="18" fillId="4" borderId="0" xfId="0" applyNumberFormat="1" applyFont="1" applyFill="1" applyAlignment="1">
      <alignment horizontal="left"/>
    </xf>
    <xf numFmtId="3" fontId="1" fillId="8" borderId="0" xfId="0" applyNumberFormat="1" applyFont="1" applyFill="1"/>
    <xf numFmtId="184" fontId="1" fillId="8" borderId="0" xfId="0" applyNumberFormat="1" applyFont="1" applyFill="1"/>
    <xf numFmtId="188" fontId="1" fillId="8" borderId="0" xfId="0" applyNumberFormat="1" applyFont="1" applyFill="1"/>
    <xf numFmtId="183" fontId="18" fillId="9" borderId="0" xfId="0" applyNumberFormat="1" applyFont="1" applyFill="1" applyAlignment="1">
      <alignment horizontal="left"/>
    </xf>
    <xf numFmtId="199" fontId="3" fillId="8" borderId="0" xfId="0" applyNumberFormat="1" applyFont="1" applyFill="1"/>
    <xf numFmtId="199" fontId="1" fillId="8" borderId="0" xfId="0" applyNumberFormat="1" applyFont="1" applyFill="1"/>
    <xf numFmtId="200" fontId="1" fillId="8" borderId="0" xfId="0" applyNumberFormat="1" applyFont="1" applyFill="1"/>
    <xf numFmtId="204" fontId="3" fillId="8" borderId="0" xfId="0" applyNumberFormat="1" applyFont="1" applyFill="1"/>
    <xf numFmtId="204" fontId="1" fillId="8" borderId="0" xfId="0" applyNumberFormat="1" applyFont="1" applyFill="1"/>
    <xf numFmtId="182" fontId="3" fillId="8" borderId="0" xfId="0" applyNumberFormat="1" applyFont="1" applyFill="1"/>
    <xf numFmtId="182" fontId="1" fillId="8" borderId="0" xfId="0" applyNumberFormat="1" applyFont="1" applyFill="1"/>
    <xf numFmtId="0" fontId="0" fillId="9" borderId="0" xfId="0" applyFill="1"/>
    <xf numFmtId="3" fontId="4" fillId="8" borderId="0" xfId="49" applyNumberFormat="1" applyFont="1" applyFill="1" applyAlignment="1" applyProtection="1">
      <alignment horizontal="right" vertical="center"/>
    </xf>
    <xf numFmtId="0" fontId="1" fillId="0" borderId="0" xfId="58" applyFont="1" applyAlignment="1">
      <alignment horizontal="left"/>
    </xf>
    <xf numFmtId="183" fontId="1" fillId="8" borderId="0" xfId="58" applyNumberFormat="1" applyFont="1" applyFill="1" applyAlignment="1">
      <alignment horizontal="right"/>
    </xf>
    <xf numFmtId="183" fontId="2" fillId="8" borderId="0" xfId="49" applyNumberFormat="1" applyFont="1" applyFill="1" applyAlignment="1" applyProtection="1">
      <alignment horizontal="right" vertical="center"/>
    </xf>
    <xf numFmtId="205" fontId="1" fillId="0" borderId="0" xfId="58" applyNumberFormat="1" applyFont="1" applyAlignment="1">
      <alignment horizontal="left"/>
    </xf>
    <xf numFmtId="3" fontId="2" fillId="8" borderId="0" xfId="49" applyNumberFormat="1" applyFont="1" applyFill="1" applyAlignment="1" applyProtection="1">
      <alignment horizontal="right" vertical="center"/>
    </xf>
    <xf numFmtId="0" fontId="43" fillId="0" borderId="0" xfId="58" applyFont="1" applyAlignment="1">
      <alignment horizontal="left"/>
    </xf>
    <xf numFmtId="206" fontId="1" fillId="0" borderId="0" xfId="58" applyNumberFormat="1" applyFont="1" applyAlignment="1">
      <alignment horizontal="left"/>
    </xf>
    <xf numFmtId="206" fontId="1" fillId="8" borderId="0" xfId="58" applyNumberFormat="1" applyFont="1" applyFill="1" applyAlignment="1">
      <alignment horizontal="right"/>
    </xf>
    <xf numFmtId="3" fontId="3" fillId="8" borderId="0" xfId="0" applyNumberFormat="1" applyFont="1" applyFill="1" applyAlignment="1">
      <alignment horizontal="right"/>
    </xf>
    <xf numFmtId="0" fontId="3" fillId="0" borderId="0" xfId="58" applyFont="1"/>
    <xf numFmtId="183" fontId="3" fillId="8" borderId="0" xfId="0" applyNumberFormat="1" applyFont="1" applyFill="1" applyAlignment="1">
      <alignment horizontal="right"/>
    </xf>
    <xf numFmtId="0" fontId="1" fillId="8" borderId="0" xfId="0" applyFont="1" applyFill="1" applyAlignment="1">
      <alignment horizontal="right"/>
    </xf>
    <xf numFmtId="9" fontId="18" fillId="4" borderId="0" xfId="0" applyNumberFormat="1" applyFont="1" applyFill="1" applyAlignment="1">
      <alignment horizontal="right"/>
    </xf>
    <xf numFmtId="9" fontId="18" fillId="9" borderId="0" xfId="0" applyNumberFormat="1" applyFont="1" applyFill="1" applyAlignment="1">
      <alignment horizontal="right"/>
    </xf>
    <xf numFmtId="204" fontId="1" fillId="0" borderId="0" xfId="0" applyNumberFormat="1" applyFont="1"/>
    <xf numFmtId="204" fontId="2" fillId="0" borderId="0" xfId="0" applyNumberFormat="1" applyFont="1" applyAlignment="1">
      <alignment horizontal="right"/>
    </xf>
    <xf numFmtId="204" fontId="3" fillId="0" borderId="0" xfId="0" applyNumberFormat="1" applyFont="1"/>
    <xf numFmtId="0" fontId="2" fillId="9" borderId="0" xfId="0" applyFont="1" applyFill="1"/>
    <xf numFmtId="185" fontId="18" fillId="9" borderId="0" xfId="0" applyNumberFormat="1" applyFont="1" applyFill="1" applyAlignment="1">
      <alignment horizontal="right"/>
    </xf>
    <xf numFmtId="183" fontId="1" fillId="0" borderId="0" xfId="58" applyNumberFormat="1" applyFont="1" applyAlignment="1">
      <alignment horizontal="right"/>
    </xf>
    <xf numFmtId="183" fontId="2" fillId="0" borderId="0" xfId="49" applyNumberFormat="1" applyFont="1" applyAlignment="1" applyProtection="1">
      <alignment horizontal="right" vertical="center"/>
    </xf>
    <xf numFmtId="3" fontId="2" fillId="0" borderId="0" xfId="49" applyNumberFormat="1" applyFont="1" applyAlignment="1" applyProtection="1">
      <alignment horizontal="right" vertical="center"/>
    </xf>
    <xf numFmtId="206" fontId="1" fillId="0" borderId="0" xfId="58" applyNumberFormat="1" applyFont="1" applyAlignment="1">
      <alignment horizontal="right"/>
    </xf>
    <xf numFmtId="183" fontId="1" fillId="0" borderId="0" xfId="0" applyNumberFormat="1" applyFont="1" applyAlignment="1">
      <alignment horizontal="right"/>
    </xf>
    <xf numFmtId="185" fontId="1" fillId="0" borderId="0" xfId="0" applyNumberFormat="1" applyFont="1" applyAlignment="1">
      <alignment horizontal="right"/>
    </xf>
    <xf numFmtId="190" fontId="3" fillId="0" borderId="0" xfId="0" applyNumberFormat="1" applyFont="1" applyAlignment="1">
      <alignment horizontal="right"/>
    </xf>
    <xf numFmtId="199" fontId="3" fillId="8" borderId="0" xfId="0" applyNumberFormat="1" applyFont="1" applyFill="1" applyAlignment="1">
      <alignment horizontal="right"/>
    </xf>
    <xf numFmtId="199" fontId="4" fillId="8" borderId="0" xfId="0" applyNumberFormat="1" applyFont="1" applyFill="1" applyAlignment="1">
      <alignment horizontal="right"/>
    </xf>
    <xf numFmtId="9" fontId="44" fillId="8" borderId="0" xfId="0" applyNumberFormat="1" applyFont="1" applyFill="1" applyAlignment="1">
      <alignment horizontal="right"/>
    </xf>
    <xf numFmtId="199" fontId="1" fillId="8" borderId="0" xfId="0" applyNumberFormat="1" applyFont="1" applyFill="1" applyAlignment="1">
      <alignment horizontal="right"/>
    </xf>
    <xf numFmtId="204" fontId="3" fillId="8" borderId="0" xfId="0" applyNumberFormat="1" applyFont="1" applyFill="1" applyAlignment="1">
      <alignment horizontal="right"/>
    </xf>
    <xf numFmtId="204" fontId="4" fillId="8" borderId="0" xfId="0" applyNumberFormat="1" applyFont="1" applyFill="1" applyAlignment="1">
      <alignment horizontal="right"/>
    </xf>
    <xf numFmtId="9" fontId="44" fillId="8" borderId="0" xfId="0" applyNumberFormat="1" applyFont="1" applyFill="1"/>
    <xf numFmtId="183" fontId="44" fillId="8" borderId="0" xfId="0" applyNumberFormat="1" applyFont="1" applyFill="1"/>
    <xf numFmtId="204" fontId="1" fillId="8" borderId="0" xfId="0" applyNumberFormat="1" applyFont="1" applyFill="1" applyAlignment="1">
      <alignment horizontal="right"/>
    </xf>
    <xf numFmtId="184" fontId="4" fillId="0" borderId="0" xfId="0" applyNumberFormat="1" applyFont="1" applyAlignment="1">
      <alignment horizontal="right"/>
    </xf>
    <xf numFmtId="184" fontId="3" fillId="8" borderId="0" xfId="0" applyNumberFormat="1" applyFont="1" applyFill="1" applyAlignment="1">
      <alignment horizontal="right"/>
    </xf>
    <xf numFmtId="182" fontId="2" fillId="0" borderId="0" xfId="0" applyNumberFormat="1" applyFont="1" applyAlignment="1">
      <alignment horizontal="right"/>
    </xf>
    <xf numFmtId="0" fontId="45" fillId="8" borderId="0" xfId="0" applyFont="1" applyFill="1"/>
    <xf numFmtId="9" fontId="2" fillId="0" borderId="0" xfId="0" applyNumberFormat="1" applyFont="1" applyAlignment="1">
      <alignment horizontal="center" vertical="center"/>
    </xf>
    <xf numFmtId="183" fontId="1" fillId="0" borderId="0" xfId="0" applyNumberFormat="1" applyFont="1" applyAlignment="1">
      <alignment horizontal="center" vertical="center"/>
    </xf>
    <xf numFmtId="0" fontId="1" fillId="0" borderId="0" xfId="0" applyFont="1" applyAlignment="1">
      <alignment wrapText="1"/>
    </xf>
    <xf numFmtId="3" fontId="2" fillId="8" borderId="0" xfId="49" applyNumberFormat="1" applyFont="1" applyFill="1" applyAlignment="1" applyProtection="1">
      <alignment vertical="center"/>
    </xf>
    <xf numFmtId="183" fontId="4" fillId="8" borderId="0" xfId="49" applyNumberFormat="1" applyFont="1" applyFill="1" applyAlignment="1" applyProtection="1">
      <alignment horizontal="right" vertical="center"/>
    </xf>
    <xf numFmtId="3" fontId="2" fillId="8" borderId="0" xfId="55" applyNumberFormat="1" applyFont="1" applyFill="1" applyBorder="1">
      <alignment vertical="center"/>
    </xf>
    <xf numFmtId="185" fontId="1" fillId="8" borderId="0" xfId="0" applyNumberFormat="1" applyFont="1" applyFill="1"/>
    <xf numFmtId="0" fontId="5" fillId="8" borderId="0" xfId="0" applyFont="1" applyFill="1"/>
    <xf numFmtId="3" fontId="2" fillId="8" borderId="0" xfId="49" applyNumberFormat="1" applyFont="1" applyFill="1" applyAlignment="1" applyProtection="1">
      <alignment horizontal="right" vertical="center" wrapText="1"/>
    </xf>
    <xf numFmtId="3" fontId="1" fillId="8" borderId="0" xfId="0" applyNumberFormat="1" applyFont="1" applyFill="1" applyAlignment="1">
      <alignment horizontal="right"/>
    </xf>
    <xf numFmtId="207" fontId="3" fillId="2" borderId="3" xfId="0" applyNumberFormat="1" applyFont="1" applyFill="1" applyBorder="1"/>
    <xf numFmtId="193" fontId="1" fillId="8" borderId="0" xfId="0" applyNumberFormat="1" applyFont="1" applyFill="1" applyAlignment="1">
      <alignment horizontal="right"/>
    </xf>
    <xf numFmtId="3" fontId="2" fillId="8" borderId="0" xfId="57" applyNumberFormat="1" applyFont="1" applyFill="1" applyBorder="1" applyAlignment="1">
      <alignment horizontal="right" vertical="center"/>
    </xf>
    <xf numFmtId="0" fontId="45" fillId="0" borderId="0" xfId="0" applyFont="1"/>
    <xf numFmtId="3" fontId="2" fillId="8" borderId="0" xfId="55" applyNumberFormat="1" applyFont="1" applyFill="1" applyBorder="1" applyAlignment="1">
      <alignment vertical="center"/>
    </xf>
    <xf numFmtId="183" fontId="4" fillId="0" borderId="0" xfId="49" applyNumberFormat="1" applyFont="1" applyAlignment="1" applyProtection="1">
      <alignment horizontal="right" vertical="center"/>
    </xf>
    <xf numFmtId="182" fontId="4" fillId="8" borderId="0" xfId="0" applyNumberFormat="1" applyFont="1" applyFill="1"/>
    <xf numFmtId="182" fontId="2" fillId="8" borderId="0" xfId="0" applyNumberFormat="1" applyFont="1" applyFill="1"/>
    <xf numFmtId="3" fontId="2" fillId="0" borderId="0" xfId="49" applyNumberFormat="1" applyFont="1" applyAlignment="1" applyProtection="1">
      <alignment horizontal="right" vertical="center" wrapText="1"/>
    </xf>
    <xf numFmtId="3" fontId="4" fillId="0" borderId="0" xfId="49" applyNumberFormat="1" applyFont="1" applyAlignment="1" applyProtection="1">
      <alignment horizontal="right" vertical="center" wrapText="1"/>
    </xf>
    <xf numFmtId="193" fontId="1" fillId="0" borderId="0" xfId="0" applyNumberFormat="1" applyFont="1"/>
    <xf numFmtId="3" fontId="2" fillId="0" borderId="0" xfId="57" applyNumberFormat="1" applyFont="1" applyFill="1" applyBorder="1" applyAlignment="1">
      <alignment horizontal="right" vertical="center"/>
    </xf>
    <xf numFmtId="0" fontId="3" fillId="8" borderId="0" xfId="0" applyFont="1" applyFill="1" applyAlignment="1">
      <alignment horizontal="right"/>
    </xf>
    <xf numFmtId="0" fontId="2" fillId="8" borderId="0" xfId="0" applyFont="1" applyFill="1"/>
    <xf numFmtId="0" fontId="18" fillId="9" borderId="0" xfId="0" applyFont="1" applyFill="1" applyAlignment="1">
      <alignment horizontal="right"/>
    </xf>
    <xf numFmtId="3" fontId="2" fillId="0" borderId="0" xfId="55" applyNumberFormat="1" applyFont="1" applyFill="1" applyBorder="1" applyAlignment="1">
      <alignment vertical="center"/>
    </xf>
    <xf numFmtId="3" fontId="2" fillId="8" borderId="0" xfId="55" applyNumberFormat="1" applyFont="1" applyFill="1" applyBorder="1" applyAlignment="1">
      <alignment horizontal="right" vertical="center"/>
    </xf>
    <xf numFmtId="3" fontId="2" fillId="0" borderId="0" xfId="55" applyNumberFormat="1" applyFont="1" applyFill="1" applyBorder="1" applyAlignment="1">
      <alignment horizontal="right" vertical="center"/>
    </xf>
    <xf numFmtId="3" fontId="4" fillId="0" borderId="0" xfId="57" applyNumberFormat="1" applyFont="1" applyFill="1" applyBorder="1" applyAlignment="1">
      <alignment horizontal="right" vertical="center"/>
    </xf>
    <xf numFmtId="3" fontId="46" fillId="0" borderId="0" xfId="57" applyNumberFormat="1" applyFont="1" applyFill="1" applyBorder="1" applyAlignment="1">
      <alignment horizontal="right" vertical="center"/>
    </xf>
    <xf numFmtId="201" fontId="2" fillId="0" borderId="0" xfId="0" applyNumberFormat="1" applyFont="1"/>
    <xf numFmtId="183" fontId="4" fillId="10" borderId="0" xfId="49" applyNumberFormat="1" applyFont="1" applyFill="1" applyAlignment="1" applyProtection="1">
      <alignment horizontal="right" vertical="center"/>
    </xf>
    <xf numFmtId="185" fontId="23" fillId="0" borderId="0" xfId="0" applyNumberFormat="1" applyFont="1"/>
    <xf numFmtId="190" fontId="23" fillId="0" borderId="0" xfId="0" applyNumberFormat="1" applyFont="1"/>
    <xf numFmtId="190" fontId="4" fillId="8" borderId="0" xfId="59" applyNumberFormat="1" applyFont="1" applyFill="1" applyAlignment="1">
      <alignment vertical="center"/>
    </xf>
    <xf numFmtId="3" fontId="4" fillId="8" borderId="0" xfId="59" applyNumberFormat="1" applyFont="1" applyFill="1" applyAlignment="1">
      <alignment vertical="center"/>
    </xf>
    <xf numFmtId="0" fontId="2" fillId="10" borderId="0" xfId="59" applyFont="1" applyFill="1" applyAlignment="1">
      <alignment horizontal="left" vertical="center"/>
    </xf>
    <xf numFmtId="190" fontId="2" fillId="8" borderId="0" xfId="59" applyNumberFormat="1" applyFont="1" applyFill="1" applyAlignment="1">
      <alignment horizontal="right" vertical="center"/>
    </xf>
    <xf numFmtId="3" fontId="3" fillId="8" borderId="0" xfId="0" applyNumberFormat="1" applyFont="1" applyFill="1"/>
    <xf numFmtId="190" fontId="45" fillId="8" borderId="0" xfId="0" applyNumberFormat="1" applyFont="1" applyFill="1"/>
    <xf numFmtId="190" fontId="4" fillId="8" borderId="0" xfId="55" applyNumberFormat="1" applyFont="1" applyFill="1" applyBorder="1" applyAlignment="1">
      <alignment horizontal="right" vertical="center"/>
    </xf>
    <xf numFmtId="3" fontId="4" fillId="8" borderId="0" xfId="55" applyNumberFormat="1" applyFont="1" applyFill="1" applyBorder="1" applyAlignment="1">
      <alignment horizontal="right" vertical="center"/>
    </xf>
    <xf numFmtId="3" fontId="45" fillId="8" borderId="0" xfId="0" applyNumberFormat="1" applyFont="1" applyFill="1"/>
    <xf numFmtId="190" fontId="2" fillId="8" borderId="0" xfId="55" applyNumberFormat="1" applyFont="1" applyFill="1" applyBorder="1" applyAlignment="1">
      <alignment vertical="center"/>
    </xf>
    <xf numFmtId="0" fontId="47" fillId="0" borderId="0" xfId="0" applyFont="1"/>
    <xf numFmtId="190" fontId="47" fillId="8" borderId="0" xfId="0" applyNumberFormat="1" applyFont="1" applyFill="1"/>
    <xf numFmtId="3" fontId="47" fillId="8" borderId="0" xfId="0" applyNumberFormat="1" applyFont="1" applyFill="1"/>
    <xf numFmtId="0" fontId="26" fillId="4" borderId="0" xfId="0" applyFont="1" applyFill="1"/>
    <xf numFmtId="190" fontId="1" fillId="8" borderId="0" xfId="58" applyNumberFormat="1" applyFont="1" applyFill="1" applyAlignment="1">
      <alignment horizontal="right"/>
    </xf>
    <xf numFmtId="0" fontId="1" fillId="8" borderId="0" xfId="58" applyFont="1" applyFill="1" applyAlignment="1">
      <alignment horizontal="right"/>
    </xf>
    <xf numFmtId="190" fontId="3" fillId="8" borderId="0" xfId="58" applyNumberFormat="1" applyFont="1" applyFill="1" applyAlignment="1">
      <alignment horizontal="right"/>
    </xf>
    <xf numFmtId="0" fontId="45" fillId="8" borderId="0" xfId="0" applyFont="1" applyFill="1" applyAlignment="1">
      <alignment horizontal="right"/>
    </xf>
    <xf numFmtId="200" fontId="3" fillId="2" borderId="3" xfId="0" applyNumberFormat="1" applyFont="1" applyFill="1" applyBorder="1" applyAlignment="1">
      <alignment horizontal="right"/>
    </xf>
    <xf numFmtId="0" fontId="48" fillId="4" borderId="0" xfId="0" applyFont="1" applyFill="1"/>
    <xf numFmtId="3" fontId="2" fillId="8" borderId="0" xfId="58" applyNumberFormat="1" applyFont="1" applyFill="1" applyAlignment="1">
      <alignment horizontal="right" vertical="center"/>
    </xf>
    <xf numFmtId="3" fontId="2" fillId="0" borderId="0" xfId="58" applyNumberFormat="1" applyFont="1" applyAlignment="1">
      <alignment horizontal="right" vertical="center"/>
    </xf>
    <xf numFmtId="3" fontId="4" fillId="0" borderId="0" xfId="59" applyNumberFormat="1" applyFont="1" applyAlignment="1">
      <alignment vertical="center"/>
    </xf>
    <xf numFmtId="3" fontId="4" fillId="0" borderId="0" xfId="55" applyNumberFormat="1" applyFont="1" applyFill="1" applyBorder="1" applyAlignment="1">
      <alignment horizontal="right" vertical="center"/>
    </xf>
    <xf numFmtId="201" fontId="2" fillId="0" borderId="0" xfId="0" applyNumberFormat="1" applyFont="1" applyAlignment="1">
      <alignment horizontal="right"/>
    </xf>
    <xf numFmtId="201" fontId="1" fillId="8" borderId="0" xfId="0" applyNumberFormat="1" applyFont="1" applyFill="1"/>
    <xf numFmtId="3" fontId="47" fillId="0" borderId="0" xfId="0" applyNumberFormat="1" applyFont="1"/>
    <xf numFmtId="190" fontId="1" fillId="0" borderId="0" xfId="58" applyNumberFormat="1" applyFont="1" applyAlignment="1">
      <alignment horizontal="right"/>
    </xf>
    <xf numFmtId="0" fontId="1" fillId="0" borderId="0" xfId="58" applyFont="1" applyAlignment="1">
      <alignment horizontal="right"/>
    </xf>
    <xf numFmtId="190" fontId="3" fillId="0" borderId="0" xfId="58" applyNumberFormat="1" applyFont="1" applyAlignment="1">
      <alignment horizontal="right"/>
    </xf>
    <xf numFmtId="0" fontId="45" fillId="0" borderId="0" xfId="0" applyFont="1" applyAlignment="1">
      <alignment horizontal="right"/>
    </xf>
    <xf numFmtId="200" fontId="3" fillId="2" borderId="3" xfId="0" applyNumberFormat="1" applyFont="1" applyFill="1" applyBorder="1"/>
    <xf numFmtId="0" fontId="49" fillId="4" borderId="0" xfId="0" applyFont="1" applyFill="1"/>
    <xf numFmtId="201" fontId="3" fillId="8" borderId="0" xfId="0" applyNumberFormat="1" applyFont="1" applyFill="1"/>
    <xf numFmtId="201" fontId="2" fillId="0" borderId="0" xfId="56" applyNumberFormat="1" applyFont="1" applyFill="1" applyBorder="1" applyAlignment="1">
      <alignment horizontal="right"/>
    </xf>
    <xf numFmtId="201" fontId="1" fillId="0" borderId="0" xfId="56" applyNumberFormat="1" applyFont="1" applyFill="1" applyBorder="1" applyAlignment="1">
      <alignment horizontal="right"/>
    </xf>
    <xf numFmtId="201" fontId="47" fillId="0" borderId="0" xfId="0" applyNumberFormat="1" applyFont="1"/>
    <xf numFmtId="201" fontId="47" fillId="8" borderId="0" xfId="0" applyNumberFormat="1" applyFont="1" applyFill="1"/>
    <xf numFmtId="0" fontId="4" fillId="2" borderId="3" xfId="0" applyFont="1" applyFill="1" applyBorder="1"/>
    <xf numFmtId="0" fontId="23" fillId="2" borderId="3" xfId="0" applyFont="1" applyFill="1" applyBorder="1"/>
    <xf numFmtId="0" fontId="23" fillId="8" borderId="0" xfId="0" applyFont="1" applyFill="1"/>
    <xf numFmtId="0" fontId="32" fillId="4" borderId="0" xfId="0" applyFont="1" applyFill="1"/>
    <xf numFmtId="0" fontId="3" fillId="0" borderId="0" xfId="58" applyFont="1" applyAlignment="1">
      <alignment horizontal="left"/>
    </xf>
    <xf numFmtId="0" fontId="3" fillId="8" borderId="0" xfId="58" applyFont="1" applyFill="1" applyAlignment="1">
      <alignment horizontal="right"/>
    </xf>
    <xf numFmtId="208" fontId="3" fillId="0" borderId="0" xfId="58" applyNumberFormat="1" applyFont="1"/>
    <xf numFmtId="208" fontId="1" fillId="0" borderId="0" xfId="58" applyNumberFormat="1" applyFont="1" applyAlignment="1">
      <alignment horizontal="left"/>
    </xf>
    <xf numFmtId="0" fontId="2" fillId="10" borderId="0" xfId="59" applyFont="1" applyFill="1" applyAlignment="1">
      <alignment vertical="center"/>
    </xf>
    <xf numFmtId="0" fontId="2" fillId="10" borderId="0" xfId="59" applyFont="1" applyFill="1" applyAlignment="1">
      <alignment horizontal="left" vertical="center" indent="1"/>
    </xf>
    <xf numFmtId="0" fontId="4" fillId="10" borderId="0" xfId="59" applyFont="1" applyFill="1" applyAlignment="1">
      <alignment vertical="center"/>
    </xf>
    <xf numFmtId="0" fontId="2" fillId="11" borderId="0" xfId="59" applyFont="1" applyFill="1" applyAlignment="1">
      <alignment vertical="center"/>
    </xf>
    <xf numFmtId="190" fontId="2" fillId="8" borderId="0" xfId="59" applyNumberFormat="1" applyFont="1" applyFill="1" applyAlignment="1">
      <alignment vertical="center"/>
    </xf>
    <xf numFmtId="0" fontId="4" fillId="10" borderId="0" xfId="59" applyFont="1" applyFill="1" applyAlignment="1">
      <alignment horizontal="left" vertical="center" indent="1"/>
    </xf>
    <xf numFmtId="0" fontId="2" fillId="11" borderId="0" xfId="59" applyFont="1" applyFill="1" applyAlignment="1">
      <alignment horizontal="left" vertical="center" indent="1"/>
    </xf>
    <xf numFmtId="0" fontId="50" fillId="10" borderId="0" xfId="59" applyFont="1" applyFill="1" applyAlignment="1">
      <alignment vertical="center"/>
    </xf>
    <xf numFmtId="0" fontId="50" fillId="8" borderId="0" xfId="59" applyFont="1" applyFill="1" applyAlignment="1">
      <alignment vertical="center"/>
    </xf>
    <xf numFmtId="0" fontId="11" fillId="8" borderId="0" xfId="0" applyFont="1" applyFill="1"/>
    <xf numFmtId="208" fontId="3" fillId="0" borderId="0" xfId="58" applyNumberFormat="1" applyFont="1" applyAlignment="1">
      <alignment horizontal="left"/>
    </xf>
    <xf numFmtId="190" fontId="1" fillId="8" borderId="0" xfId="58" applyNumberFormat="1" applyFont="1" applyFill="1" applyAlignment="1">
      <alignment horizontal="left"/>
    </xf>
    <xf numFmtId="190" fontId="3" fillId="8" borderId="0" xfId="58" applyNumberFormat="1" applyFont="1" applyFill="1"/>
    <xf numFmtId="206" fontId="1" fillId="8" borderId="0" xfId="58" applyNumberFormat="1" applyFont="1" applyFill="1" applyAlignment="1">
      <alignment horizontal="left"/>
    </xf>
    <xf numFmtId="0" fontId="3" fillId="0" borderId="0" xfId="58" applyFont="1" applyAlignment="1">
      <alignment horizontal="right"/>
    </xf>
    <xf numFmtId="190" fontId="2" fillId="0" borderId="0" xfId="59" applyNumberFormat="1" applyFont="1" applyAlignment="1">
      <alignment vertical="center"/>
    </xf>
    <xf numFmtId="190" fontId="51" fillId="0" borderId="0" xfId="55" applyNumberFormat="1" applyFont="1" applyFill="1" applyBorder="1" applyAlignment="1">
      <alignment vertical="center"/>
    </xf>
    <xf numFmtId="190" fontId="2" fillId="0" borderId="0" xfId="55" applyNumberFormat="1" applyFont="1" applyFill="1" applyBorder="1" applyAlignment="1">
      <alignment vertical="center"/>
    </xf>
    <xf numFmtId="0" fontId="18" fillId="4" borderId="0" xfId="0" applyFont="1" applyFill="1" applyAlignment="1">
      <alignment horizontal="right"/>
    </xf>
    <xf numFmtId="185" fontId="18" fillId="4" borderId="0" xfId="0" applyNumberFormat="1" applyFont="1" applyFill="1" applyAlignment="1">
      <alignment horizontal="right"/>
    </xf>
    <xf numFmtId="190" fontId="3" fillId="0" borderId="0" xfId="58" applyNumberFormat="1" applyFont="1"/>
    <xf numFmtId="0" fontId="0" fillId="4" borderId="0" xfId="0" applyFill="1"/>
    <xf numFmtId="0" fontId="1" fillId="8" borderId="0" xfId="58" applyFont="1" applyFill="1" applyAlignment="1">
      <alignment horizontal="left"/>
    </xf>
    <xf numFmtId="0" fontId="3" fillId="2" borderId="3" xfId="58" applyFont="1" applyFill="1" applyBorder="1"/>
    <xf numFmtId="209" fontId="3" fillId="2" borderId="3" xfId="0" applyNumberFormat="1" applyFont="1" applyFill="1" applyBorder="1"/>
    <xf numFmtId="190" fontId="52" fillId="8" borderId="0" xfId="0" applyNumberFormat="1" applyFont="1" applyFill="1"/>
    <xf numFmtId="0" fontId="1" fillId="0" borderId="0" xfId="0" applyFont="1" applyAlignment="1">
      <alignment horizontal="center"/>
    </xf>
    <xf numFmtId="209" fontId="1" fillId="0" borderId="0" xfId="0" applyNumberFormat="1" applyFont="1" applyAlignment="1">
      <alignment horizontal="center"/>
    </xf>
    <xf numFmtId="182" fontId="1" fillId="0" borderId="0" xfId="0" applyNumberFormat="1" applyFont="1" applyAlignment="1">
      <alignment horizontal="center"/>
    </xf>
    <xf numFmtId="0" fontId="3" fillId="0" borderId="4" xfId="0" applyFont="1" applyBorder="1" applyAlignment="1">
      <alignment horizontal="center"/>
    </xf>
    <xf numFmtId="0" fontId="3" fillId="0" borderId="7" xfId="0" applyFont="1" applyBorder="1" applyAlignment="1">
      <alignment horizontal="center"/>
    </xf>
    <xf numFmtId="9" fontId="2" fillId="0" borderId="8" xfId="0" applyNumberFormat="1"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vertical="center"/>
    </xf>
    <xf numFmtId="0" fontId="1" fillId="0" borderId="9" xfId="0" applyFont="1" applyBorder="1" applyAlignment="1">
      <alignment horizontal="center" vertical="center"/>
    </xf>
    <xf numFmtId="184" fontId="1" fillId="0" borderId="7" xfId="0" applyNumberFormat="1" applyFont="1" applyBorder="1" applyAlignment="1">
      <alignment horizontal="center" vertical="center"/>
    </xf>
    <xf numFmtId="183" fontId="1" fillId="0" borderId="10" xfId="0" applyNumberFormat="1" applyFont="1" applyBorder="1" applyAlignment="1">
      <alignment horizontal="center" vertical="center"/>
    </xf>
    <xf numFmtId="9" fontId="2" fillId="0" borderId="11" xfId="0" applyNumberFormat="1" applyFont="1" applyBorder="1" applyAlignment="1">
      <alignment horizontal="center" vertical="center"/>
    </xf>
    <xf numFmtId="0" fontId="1" fillId="0" borderId="11" xfId="0" applyFont="1" applyBorder="1" applyAlignment="1">
      <alignment horizontal="center" vertical="center"/>
    </xf>
    <xf numFmtId="0" fontId="0" fillId="0" borderId="0" xfId="0" applyAlignment="1">
      <alignment vertical="center"/>
    </xf>
    <xf numFmtId="0" fontId="1" fillId="0" borderId="12" xfId="0" applyFont="1" applyBorder="1" applyAlignment="1">
      <alignment horizontal="center" vertical="center"/>
    </xf>
    <xf numFmtId="184" fontId="1" fillId="0" borderId="0" xfId="0" applyNumberFormat="1" applyFont="1" applyAlignment="1">
      <alignment horizontal="center" vertical="center"/>
    </xf>
    <xf numFmtId="183" fontId="1" fillId="0" borderId="13" xfId="0" applyNumberFormat="1" applyFont="1" applyBorder="1" applyAlignment="1">
      <alignment horizontal="center" vertical="center"/>
    </xf>
    <xf numFmtId="0" fontId="1" fillId="0" borderId="0" xfId="0" applyFont="1" applyAlignment="1">
      <alignment vertical="center"/>
    </xf>
    <xf numFmtId="0" fontId="1" fillId="0" borderId="10" xfId="0" applyFont="1" applyBorder="1" applyAlignment="1">
      <alignment horizontal="center" vertical="center"/>
    </xf>
    <xf numFmtId="9" fontId="2" fillId="0" borderId="14" xfId="0" applyNumberFormat="1"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184" fontId="1" fillId="0" borderId="1" xfId="0" applyNumberFormat="1" applyFont="1" applyBorder="1" applyAlignment="1">
      <alignment horizontal="center" vertical="center"/>
    </xf>
    <xf numFmtId="183" fontId="1" fillId="0" borderId="16" xfId="0" applyNumberFormat="1" applyFont="1" applyBorder="1" applyAlignment="1">
      <alignment horizontal="center" vertical="center"/>
    </xf>
    <xf numFmtId="0" fontId="1" fillId="0" borderId="1" xfId="0" applyFont="1" applyBorder="1" applyAlignment="1">
      <alignment horizontal="center" vertical="center"/>
    </xf>
    <xf numFmtId="0" fontId="1" fillId="0" borderId="16" xfId="0" applyFont="1" applyBorder="1" applyAlignment="1">
      <alignment horizontal="center" vertical="center"/>
    </xf>
    <xf numFmtId="182" fontId="1" fillId="0" borderId="7" xfId="0" applyNumberFormat="1" applyFont="1" applyBorder="1" applyAlignment="1">
      <alignment horizontal="center" vertical="center"/>
    </xf>
    <xf numFmtId="182" fontId="1" fillId="0" borderId="0" xfId="0" applyNumberFormat="1" applyFont="1" applyAlignment="1">
      <alignment horizontal="center" vertical="center"/>
    </xf>
    <xf numFmtId="0" fontId="1" fillId="0" borderId="14" xfId="0" applyFont="1" applyBorder="1" applyAlignment="1">
      <alignment horizontal="center" vertical="center"/>
    </xf>
    <xf numFmtId="0" fontId="1" fillId="0" borderId="1" xfId="0" applyFont="1" applyBorder="1" applyAlignment="1">
      <alignment vertical="center"/>
    </xf>
    <xf numFmtId="9" fontId="2" fillId="0" borderId="12" xfId="0" applyNumberFormat="1" applyFont="1" applyBorder="1" applyAlignment="1">
      <alignment horizontal="center" vertical="center"/>
    </xf>
    <xf numFmtId="0" fontId="1" fillId="0" borderId="6" xfId="0" applyFont="1" applyBorder="1" applyAlignment="1">
      <alignment vertical="center"/>
    </xf>
    <xf numFmtId="9" fontId="2" fillId="0" borderId="15" xfId="0" applyNumberFormat="1" applyFont="1" applyBorder="1" applyAlignment="1">
      <alignment horizontal="center" vertical="center"/>
    </xf>
    <xf numFmtId="0" fontId="0" fillId="0" borderId="1" xfId="0" applyBorder="1" applyAlignment="1">
      <alignment vertical="center"/>
    </xf>
    <xf numFmtId="182" fontId="1" fillId="0" borderId="1" xfId="0" applyNumberFormat="1" applyFont="1" applyBorder="1" applyAlignment="1">
      <alignment horizontal="center" vertical="center"/>
    </xf>
    <xf numFmtId="0" fontId="3" fillId="0" borderId="17" xfId="0" applyFont="1" applyBorder="1" applyAlignment="1">
      <alignment horizontal="center"/>
    </xf>
    <xf numFmtId="204" fontId="1" fillId="0" borderId="9" xfId="0" applyNumberFormat="1" applyFont="1" applyBorder="1" applyAlignment="1">
      <alignment horizontal="center" vertical="center"/>
    </xf>
    <xf numFmtId="204" fontId="1" fillId="0" borderId="12" xfId="0" applyNumberFormat="1" applyFont="1" applyBorder="1" applyAlignment="1">
      <alignment horizontal="center" vertical="center"/>
    </xf>
    <xf numFmtId="204" fontId="1" fillId="0" borderId="15" xfId="0" applyNumberFormat="1" applyFont="1" applyBorder="1" applyAlignment="1">
      <alignment horizontal="center" vertical="center"/>
    </xf>
    <xf numFmtId="0" fontId="3" fillId="2" borderId="0" xfId="0" applyFont="1" applyFill="1" applyAlignment="1">
      <alignment horizontal="right"/>
    </xf>
    <xf numFmtId="0" fontId="53" fillId="0" borderId="0" xfId="0" applyFont="1"/>
    <xf numFmtId="199" fontId="3" fillId="2" borderId="0" xfId="0" applyNumberFormat="1" applyFont="1" applyFill="1"/>
    <xf numFmtId="0" fontId="3" fillId="2" borderId="0" xfId="0" applyFont="1" applyFill="1"/>
    <xf numFmtId="10" fontId="3" fillId="2" borderId="0" xfId="0" applyNumberFormat="1" applyFont="1" applyFill="1"/>
    <xf numFmtId="0" fontId="3" fillId="2" borderId="3" xfId="0" applyFont="1" applyFill="1" applyBorder="1" applyAlignment="1">
      <alignment vertical="center"/>
    </xf>
    <xf numFmtId="0" fontId="1" fillId="2" borderId="3" xfId="0" applyFont="1" applyFill="1" applyBorder="1" applyAlignment="1">
      <alignment vertical="center"/>
    </xf>
    <xf numFmtId="0" fontId="3" fillId="7" borderId="0" xfId="0" applyFont="1" applyFill="1" applyAlignment="1">
      <alignment horizontal="left"/>
    </xf>
    <xf numFmtId="183" fontId="3" fillId="2" borderId="0" xfId="0" applyNumberFormat="1" applyFont="1" applyFill="1"/>
    <xf numFmtId="200" fontId="3" fillId="2" borderId="0" xfId="0" applyNumberFormat="1" applyFont="1" applyFill="1"/>
    <xf numFmtId="0" fontId="3" fillId="0" borderId="0" xfId="0" applyFont="1" applyAlignment="1">
      <alignment horizontal="left"/>
    </xf>
    <xf numFmtId="202" fontId="3" fillId="2" borderId="0" xfId="0" applyNumberFormat="1" applyFont="1" applyFill="1"/>
    <xf numFmtId="200" fontId="53" fillId="0" borderId="0" xfId="0" applyNumberFormat="1" applyFont="1"/>
    <xf numFmtId="199" fontId="53" fillId="0" borderId="0" xfId="0" applyNumberFormat="1" applyFont="1"/>
    <xf numFmtId="183" fontId="1" fillId="2" borderId="3" xfId="0" applyNumberFormat="1" applyFont="1" applyFill="1" applyBorder="1" applyAlignment="1">
      <alignment vertical="center"/>
    </xf>
    <xf numFmtId="200" fontId="1" fillId="2" borderId="0" xfId="0" applyNumberFormat="1" applyFont="1" applyFill="1"/>
    <xf numFmtId="0" fontId="1" fillId="2" borderId="0" xfId="0" applyFont="1" applyFill="1" applyAlignment="1">
      <alignment horizontal="right"/>
    </xf>
    <xf numFmtId="0" fontId="3" fillId="0" borderId="0" xfId="0" applyFont="1" applyAlignment="1">
      <alignment horizontal="center"/>
    </xf>
    <xf numFmtId="202" fontId="1" fillId="2" borderId="0" xfId="0" applyNumberFormat="1" applyFont="1" applyFill="1" applyAlignment="1">
      <alignment horizontal="center" vertical="center"/>
    </xf>
    <xf numFmtId="200" fontId="1" fillId="2" borderId="0" xfId="0" applyNumberFormat="1" applyFont="1" applyFill="1" applyAlignment="1">
      <alignment horizontal="center" vertical="center"/>
    </xf>
    <xf numFmtId="202" fontId="1" fillId="0" borderId="0" xfId="0" applyNumberFormat="1" applyFont="1" applyAlignment="1">
      <alignment horizontal="center" vertical="center"/>
    </xf>
    <xf numFmtId="183" fontId="1" fillId="2" borderId="0" xfId="0" applyNumberFormat="1" applyFont="1" applyFill="1" applyAlignment="1">
      <alignment horizontal="center" vertical="center"/>
    </xf>
    <xf numFmtId="199" fontId="1" fillId="0" borderId="0" xfId="0" applyNumberFormat="1" applyFont="1" applyAlignment="1">
      <alignment horizontal="center" vertical="center"/>
    </xf>
    <xf numFmtId="0" fontId="3" fillId="2" borderId="0" xfId="0" applyFont="1" applyFill="1" applyAlignment="1">
      <alignment horizontal="left"/>
    </xf>
    <xf numFmtId="202" fontId="3" fillId="2" borderId="0" xfId="0" applyNumberFormat="1" applyFont="1" applyFill="1" applyAlignment="1">
      <alignment horizontal="center"/>
    </xf>
    <xf numFmtId="0" fontId="3" fillId="6" borderId="0" xfId="0" applyFont="1" applyFill="1" applyAlignment="1">
      <alignment horizontal="center"/>
    </xf>
    <xf numFmtId="0" fontId="18" fillId="0" borderId="0" xfId="0" applyFont="1" applyAlignment="1">
      <alignment vertical="center"/>
    </xf>
    <xf numFmtId="0" fontId="3" fillId="0" borderId="0" xfId="0" applyFont="1" applyAlignment="1">
      <alignment horizontal="center" vertical="center"/>
    </xf>
    <xf numFmtId="200" fontId="54" fillId="0" borderId="0" xfId="0" applyNumberFormat="1" applyFont="1" applyAlignment="1">
      <alignment horizontal="center" vertical="center"/>
    </xf>
    <xf numFmtId="0" fontId="54" fillId="0" borderId="0" xfId="0" applyFont="1" applyAlignment="1">
      <alignment horizontal="center" vertical="center"/>
    </xf>
    <xf numFmtId="0" fontId="18" fillId="4" borderId="0" xfId="0" applyFont="1" applyFill="1" applyAlignment="1" quotePrefix="1">
      <alignment horizontal="center" vertical="center"/>
    </xf>
  </cellXfs>
  <cellStyles count="6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_x0007_" xfId="49"/>
    <cellStyle name="Normal 2" xfId="50"/>
    <cellStyle name="Normal 2 2" xfId="51"/>
    <cellStyle name="Normal 2 2 2" xfId="52"/>
    <cellStyle name="NumberStyle" xfId="53"/>
    <cellStyle name="Percent 2 2" xfId="54"/>
    <cellStyle name="千位分隔 2" xfId="55"/>
    <cellStyle name="千位分隔 2 2" xfId="56"/>
    <cellStyle name="千位分隔_SOHU" xfId="57"/>
    <cellStyle name="常规 2" xfId="58"/>
    <cellStyle name="常规_SOHU" xfId="59"/>
  </cellStyles>
  <tableStyles count="0" defaultTableStyle="TableStyleMedium2" defaultPivotStyle="PivotStyleLight16"/>
  <colors>
    <mruColors>
      <color rgb="00FF7C80"/>
      <color rgb="00FF9999"/>
      <color rgb="0099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2400" b="1" i="0" u="none" strike="noStrike" kern="1200" baseline="0">
                <a:solidFill>
                  <a:sysClr val="windowText" lastClr="000000"/>
                </a:solidFill>
                <a:latin typeface="+mn-lt"/>
                <a:ea typeface="+mn-ea"/>
                <a:cs typeface="+mn-cs"/>
              </a:defRPr>
            </a:pPr>
            <a:r>
              <a:rPr lang="en-US" altLang="zh-CN" sz="2400">
                <a:solidFill>
                  <a:sysClr val="windowText" lastClr="000000"/>
                </a:solidFill>
              </a:rPr>
              <a:t>Industry</a:t>
            </a:r>
            <a:r>
              <a:rPr lang="en-US" altLang="zh-CN" sz="2400" baseline="0">
                <a:solidFill>
                  <a:sysClr val="windowText" lastClr="000000"/>
                </a:solidFill>
              </a:rPr>
              <a:t> Growth vs. JD Growth</a:t>
            </a:r>
            <a:endParaRPr lang="zh-CN" sz="2400">
              <a:solidFill>
                <a:sysClr val="windowText" lastClr="000000"/>
              </a:solidFill>
            </a:endParaRPr>
          </a:p>
        </c:rich>
      </c:tx>
      <c:layout/>
      <c:overlay val="0"/>
      <c:spPr>
        <a:noFill/>
        <a:ln>
          <a:noFill/>
        </a:ln>
        <a:effectLst/>
      </c:spPr>
    </c:title>
    <c:autoTitleDeleted val="0"/>
    <c:plotArea>
      <c:layout/>
      <c:lineChart>
        <c:grouping val="standard"/>
        <c:varyColors val="0"/>
        <c:ser>
          <c:idx val="0"/>
          <c:order val="0"/>
          <c:tx>
            <c:strRef>
              <c:f>"Industry growth"</c:f>
              <c:strCache>
                <c:ptCount val="1"/>
                <c:pt idx="0">
                  <c:v>Industry growth</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cat>
            <c:strRef>
              <c:f>'INDUSTRY MODEL'!$F$4:$P$4</c:f>
              <c:strCache>
                <c:ptCount val="11"/>
                <c:pt idx="0">
                  <c:v>FY17</c:v>
                </c:pt>
                <c:pt idx="1">
                  <c:v>FY18</c:v>
                </c:pt>
                <c:pt idx="2">
                  <c:v>FY19</c:v>
                </c:pt>
                <c:pt idx="3">
                  <c:v>FY20</c:v>
                </c:pt>
                <c:pt idx="4">
                  <c:v>FY21</c:v>
                </c:pt>
                <c:pt idx="5">
                  <c:v>FY22</c:v>
                </c:pt>
                <c:pt idx="6">
                  <c:v>FY23</c:v>
                </c:pt>
                <c:pt idx="7">
                  <c:v>FY24</c:v>
                </c:pt>
                <c:pt idx="8">
                  <c:v>FY25E</c:v>
                </c:pt>
                <c:pt idx="9">
                  <c:v>FY26E</c:v>
                </c:pt>
                <c:pt idx="10">
                  <c:v>FY27E</c:v>
                </c:pt>
              </c:strCache>
            </c:strRef>
          </c:cat>
          <c:val>
            <c:numRef>
              <c:f>'INDUSTRY MODEL'!$F$10:$P$10</c:f>
              <c:numCache>
                <c:formatCode>0.0%</c:formatCode>
                <c:ptCount val="11"/>
                <c:pt idx="0">
                  <c:v>0.0371102274111901</c:v>
                </c:pt>
                <c:pt idx="1">
                  <c:v>0.0782828067057435</c:v>
                </c:pt>
                <c:pt idx="2">
                  <c:v>0.0862991291967705</c:v>
                </c:pt>
                <c:pt idx="3">
                  <c:v>0.0470837720268735</c:v>
                </c:pt>
                <c:pt idx="4">
                  <c:v>-0.131025686353568</c:v>
                </c:pt>
                <c:pt idx="5">
                  <c:v>0.214252739176911</c:v>
                </c:pt>
                <c:pt idx="6">
                  <c:v>0.0196759988412614</c:v>
                </c:pt>
                <c:pt idx="7">
                  <c:v>0.0588337975167468</c:v>
                </c:pt>
                <c:pt idx="8">
                  <c:v>0.0378820443579015</c:v>
                </c:pt>
                <c:pt idx="9">
                  <c:v>0.0594609019632488</c:v>
                </c:pt>
                <c:pt idx="10">
                  <c:v>0.05689097792187</c:v>
                </c:pt>
              </c:numCache>
            </c:numRef>
          </c:val>
          <c:smooth val="0"/>
        </c:ser>
        <c:ser>
          <c:idx val="1"/>
          <c:order val="1"/>
          <c:tx>
            <c:strRef>
              <c:f>"JD growth"</c:f>
              <c:strCache>
                <c:ptCount val="1"/>
                <c:pt idx="0">
                  <c:v>JD growth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val>
            <c:numRef>
              <c:f>'INDUSTRY MODEL'!$F$19:$P$19</c:f>
              <c:numCache>
                <c:formatCode>0.0%</c:formatCode>
                <c:ptCount val="11"/>
                <c:pt idx="0">
                  <c:v>0.305792763930762</c:v>
                </c:pt>
                <c:pt idx="1">
                  <c:v>0.329045276831883</c:v>
                </c:pt>
                <c:pt idx="2">
                  <c:v>0.492313531979503</c:v>
                </c:pt>
                <c:pt idx="3">
                  <c:v>0.295264742040782</c:v>
                </c:pt>
                <c:pt idx="4">
                  <c:v>0.00924592524710355</c:v>
                </c:pt>
                <c:pt idx="5">
                  <c:v>0.388451996821948</c:v>
                </c:pt>
                <c:pt idx="6">
                  <c:v>0.182412705827397</c:v>
                </c:pt>
                <c:pt idx="7">
                  <c:v>0.0411851851851854</c:v>
                </c:pt>
                <c:pt idx="8">
                  <c:v>0.122220849933599</c:v>
                </c:pt>
                <c:pt idx="9">
                  <c:v>0.0752797154702167</c:v>
                </c:pt>
                <c:pt idx="10">
                  <c:v>0.0441397234467338</c:v>
                </c:pt>
              </c:numCache>
            </c:numRef>
          </c:val>
          <c:smooth val="0"/>
        </c:ser>
        <c:dLbls>
          <c:showLegendKey val="0"/>
          <c:showVal val="0"/>
          <c:showCatName val="0"/>
          <c:showSerName val="0"/>
          <c:showPercent val="0"/>
          <c:showBubbleSize val="0"/>
        </c:dLbls>
        <c:upDownBars>
          <c:gapWidth val="150"/>
          <c:upBars>
            <c:spPr>
              <a:solidFill>
                <a:srgbClr val="FF7C80">
                  <a:alpha val="20000"/>
                </a:srgbClr>
              </a:solidFill>
              <a:ln w="9525">
                <a:noFill/>
              </a:ln>
              <a:effectLst/>
            </c:spPr>
          </c:upBars>
          <c:downBars>
            <c:spPr>
              <a:solidFill>
                <a:schemeClr val="accent3">
                  <a:lumMod val="50000"/>
                  <a:alpha val="50000"/>
                </a:schemeClr>
              </a:solidFill>
              <a:ln w="9525">
                <a:noFill/>
              </a:ln>
              <a:effectLst/>
            </c:spPr>
          </c:downBars>
        </c:upDownBars>
        <c:marker val="0"/>
        <c:smooth val="0"/>
        <c:axId val="1452001935"/>
        <c:axId val="1451991855"/>
      </c:lineChart>
      <c:catAx>
        <c:axId val="1452001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2000" b="1" i="0" u="none" strike="noStrike" kern="1200" baseline="0">
                <a:solidFill>
                  <a:sysClr val="windowText" lastClr="000000"/>
                </a:solidFill>
                <a:latin typeface="+mn-lt"/>
                <a:ea typeface="+mn-ea"/>
                <a:cs typeface="+mn-cs"/>
              </a:defRPr>
            </a:pPr>
          </a:p>
        </c:txPr>
        <c:crossAx val="1451991855"/>
        <c:crosses val="autoZero"/>
        <c:auto val="1"/>
        <c:lblAlgn val="ctr"/>
        <c:lblOffset val="100"/>
        <c:noMultiLvlLbl val="0"/>
      </c:catAx>
      <c:valAx>
        <c:axId val="145199185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zh-CN" sz="1800" b="1" i="0" u="none" strike="noStrike" kern="1200" baseline="0">
                <a:solidFill>
                  <a:sysClr val="windowText" lastClr="000000"/>
                </a:solidFill>
                <a:latin typeface="+mn-lt"/>
                <a:ea typeface="+mn-ea"/>
                <a:cs typeface="+mn-cs"/>
              </a:defRPr>
            </a:pPr>
          </a:p>
        </c:txPr>
        <c:crossAx val="145200193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2400" b="1" i="0" u="none" strike="noStrike" kern="1200" baseline="0">
              <a:solidFill>
                <a:sysClr val="windowText" lastClr="000000"/>
              </a:solidFill>
              <a:latin typeface="+mn-lt"/>
              <a:ea typeface="+mn-ea"/>
              <a:cs typeface="+mn-cs"/>
            </a:defRPr>
          </a:pPr>
        </a:p>
      </c:txPr>
    </c:legend>
    <c:plotVisOnly val="1"/>
    <c:dispBlanksAs val="zero"/>
    <c:showDLblsOverMax val="0"/>
    <c:extLst>
      <c:ext uri="{0b15fc19-7d7d-44ad-8c2d-2c3a37ce22c3}">
        <chartProps xmlns="https://web.wps.cn/et/2018/main" chartId="{468a222d-9b7f-44f2-a418-c2abdcdd9137}"/>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3000" b="1" i="0" u="none" strike="noStrike" kern="1200" baseline="0">
                <a:solidFill>
                  <a:schemeClr val="tx1"/>
                </a:solidFill>
                <a:latin typeface="+mn-lt"/>
                <a:ea typeface="+mn-ea"/>
                <a:cs typeface="+mn-cs"/>
              </a:defRPr>
            </a:pPr>
            <a:r>
              <a:rPr lang="en-US" altLang="zh-CN" sz="3000">
                <a:solidFill>
                  <a:schemeClr val="tx1"/>
                </a:solidFill>
              </a:rPr>
              <a:t>JD: % of Enterprise Value Covered, by year</a:t>
            </a:r>
            <a:endParaRPr lang="en-US" altLang="zh-CN" sz="3000">
              <a:solidFill>
                <a:schemeClr val="tx1"/>
              </a:solidFill>
            </a:endParaRPr>
          </a:p>
        </c:rich>
      </c:tx>
      <c:layout/>
      <c:overlay val="0"/>
      <c:spPr>
        <a:noFill/>
        <a:ln>
          <a:noFill/>
        </a:ln>
        <a:effectLst/>
      </c:sp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6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'REVERSE DCF'!$N$3:$AI$3</c:f>
              <c:strCache>
                <c:ptCount val="22"/>
                <c:pt idx="0">
                  <c:v>FY25E</c:v>
                </c:pt>
                <c:pt idx="1">
                  <c:v>FY26E</c:v>
                </c:pt>
                <c:pt idx="2">
                  <c:v>FY27E</c:v>
                </c:pt>
                <c:pt idx="3">
                  <c:v>FY28E</c:v>
                </c:pt>
                <c:pt idx="4">
                  <c:v>FY29E</c:v>
                </c:pt>
                <c:pt idx="5">
                  <c:v>FY30E</c:v>
                </c:pt>
                <c:pt idx="6">
                  <c:v>FY31E</c:v>
                </c:pt>
                <c:pt idx="7">
                  <c:v>FY32E</c:v>
                </c:pt>
                <c:pt idx="8">
                  <c:v>FY33E</c:v>
                </c:pt>
                <c:pt idx="9">
                  <c:v>FY34E</c:v>
                </c:pt>
                <c:pt idx="10">
                  <c:v>FY35E</c:v>
                </c:pt>
                <c:pt idx="11">
                  <c:v>FY36E</c:v>
                </c:pt>
                <c:pt idx="12">
                  <c:v>FY37E</c:v>
                </c:pt>
                <c:pt idx="13">
                  <c:v>FY38E</c:v>
                </c:pt>
                <c:pt idx="14">
                  <c:v>FY39E</c:v>
                </c:pt>
                <c:pt idx="15">
                  <c:v>FY40E</c:v>
                </c:pt>
                <c:pt idx="16">
                  <c:v>FY41E</c:v>
                </c:pt>
                <c:pt idx="17">
                  <c:v>FY42E</c:v>
                </c:pt>
                <c:pt idx="18">
                  <c:v>FY43E</c:v>
                </c:pt>
                <c:pt idx="19">
                  <c:v>FY44E</c:v>
                </c:pt>
                <c:pt idx="20">
                  <c:v>FY45E</c:v>
                </c:pt>
                <c:pt idx="21">
                  <c:v>FY46E</c:v>
                </c:pt>
              </c:strCache>
            </c:strRef>
          </c:cat>
          <c:val>
            <c:numRef>
              <c:f>'REVERSE DCF'!$N$42:$AI$42</c:f>
              <c:numCache>
                <c:formatCode>0.0%</c:formatCode>
                <c:ptCount val="22"/>
                <c:pt idx="0">
                  <c:v>0.0862436822703259</c:v>
                </c:pt>
                <c:pt idx="1">
                  <c:v>0.175801580652684</c:v>
                </c:pt>
                <c:pt idx="2">
                  <c:v>0.275310174900335</c:v>
                </c:pt>
                <c:pt idx="3">
                  <c:v>0.368981226715488</c:v>
                </c:pt>
                <c:pt idx="4">
                  <c:v>0.457290917977087</c:v>
                </c:pt>
                <c:pt idx="5">
                  <c:v>0.540701247595054</c:v>
                </c:pt>
                <c:pt idx="6">
                  <c:v>0.618047715958105</c:v>
                </c:pt>
                <c:pt idx="7">
                  <c:v>0.691129033747095</c:v>
                </c:pt>
                <c:pt idx="8">
                  <c:v>0.760181795717302</c:v>
                </c:pt>
                <c:pt idx="9">
                  <c:v>0.825429358948714</c:v>
                </c:pt>
                <c:pt idx="10">
                  <c:v>0.887082592635748</c:v>
                </c:pt>
                <c:pt idx="11">
                  <c:v>0.945340584679448</c:v>
                </c:pt>
                <c:pt idx="12">
                  <c:v>1.0003913076284</c:v>
                </c:pt>
                <c:pt idx="13">
                  <c:v>1.05241224636006</c:v>
                </c:pt>
                <c:pt idx="14">
                  <c:v>1.10157098974925</c:v>
                </c:pt>
                <c:pt idx="15">
                  <c:v>1.14802578843518</c:v>
                </c:pt>
                <c:pt idx="16">
                  <c:v>1.19192608067049</c:v>
                </c:pt>
                <c:pt idx="17">
                  <c:v>1.23341298811727</c:v>
                </c:pt>
                <c:pt idx="18">
                  <c:v>1.27261978334237</c:v>
                </c:pt>
                <c:pt idx="19">
                  <c:v>1.30967233065989</c:v>
                </c:pt>
                <c:pt idx="20">
                  <c:v>1.34468950187005</c:v>
                </c:pt>
                <c:pt idx="21">
                  <c:v>1.37778356835126</c:v>
                </c:pt>
              </c:numCache>
            </c:numRef>
          </c:val>
        </c:ser>
        <c:dLbls>
          <c:showLegendKey val="0"/>
          <c:showVal val="1"/>
          <c:showCatName val="0"/>
          <c:showSerName val="0"/>
          <c:showPercent val="0"/>
          <c:showBubbleSize val="0"/>
        </c:dLbls>
        <c:gapWidth val="100"/>
        <c:overlap val="-24"/>
        <c:axId val="329087504"/>
        <c:axId val="329071184"/>
      </c:barChart>
      <c:catAx>
        <c:axId val="329087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2500" b="1" i="0" u="none" strike="noStrike" kern="1200" baseline="0">
                <a:solidFill>
                  <a:sysClr val="windowText" lastClr="000000"/>
                </a:solidFill>
                <a:latin typeface="+mn-lt"/>
                <a:ea typeface="+mn-ea"/>
                <a:cs typeface="+mn-cs"/>
              </a:defRPr>
            </a:pPr>
          </a:p>
        </c:txPr>
        <c:crossAx val="329071184"/>
        <c:crosses val="autoZero"/>
        <c:auto val="1"/>
        <c:lblAlgn val="ctr"/>
        <c:lblOffset val="100"/>
        <c:noMultiLvlLbl val="0"/>
      </c:catAx>
      <c:valAx>
        <c:axId val="32907118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zh-CN" sz="2500" b="1" i="0" u="none" strike="noStrike" kern="1200" baseline="0">
                <a:solidFill>
                  <a:sysClr val="windowText" lastClr="000000"/>
                </a:solidFill>
                <a:latin typeface="+mn-lt"/>
                <a:ea typeface="+mn-ea"/>
                <a:cs typeface="+mn-cs"/>
              </a:defRPr>
            </a:pPr>
          </a:p>
        </c:txPr>
        <c:crossAx val="329087504"/>
        <c:crosses val="autoZero"/>
        <c:crossBetween val="between"/>
      </c:valAx>
      <c:spPr>
        <a:noFill/>
        <a:ln>
          <a:noFill/>
        </a:ln>
        <a:effectLst/>
      </c:spPr>
    </c:plotArea>
    <c:plotVisOnly val="1"/>
    <c:dispBlanksAs val="gap"/>
    <c:showDLblsOverMax val="0"/>
    <c:extLst>
      <c:ext uri="{0b15fc19-7d7d-44ad-8c2d-2c3a37ce22c3}">
        <chartProps xmlns="https://web.wps.cn/et/2018/main" chartId="{b146094c-328c-49c4-94dc-b5175c07c12f}"/>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2000" b="1" i="0" u="none" strike="noStrike" kern="1200" baseline="0">
                <a:solidFill>
                  <a:schemeClr val="tx1">
                    <a:lumMod val="65000"/>
                    <a:lumOff val="35000"/>
                  </a:schemeClr>
                </a:solidFill>
                <a:latin typeface="+mn-lt"/>
                <a:ea typeface="+mn-ea"/>
                <a:cs typeface="+mn-cs"/>
              </a:defRPr>
            </a:pPr>
            <a:r>
              <a:rPr lang="en-US" altLang="zh-CN" sz="2000" b="1" i="0" u="none" strike="noStrike" kern="1200" baseline="0">
                <a:solidFill>
                  <a:schemeClr val="tx1"/>
                </a:solidFill>
              </a:rPr>
              <a:t>JD: YOY Revenue Growth</a:t>
            </a:r>
            <a:endParaRPr lang="en-US" altLang="zh-CN" sz="2000" b="1" i="0" u="none" strike="noStrike" kern="1200" baseline="0">
              <a:solidFill>
                <a:schemeClr val="tx1"/>
              </a:solidFill>
            </a:endParaRPr>
          </a:p>
        </c:rich>
      </c:tx>
      <c:layout/>
      <c:overlay val="0"/>
      <c:spPr>
        <a:noFill/>
        <a:ln>
          <a:noFill/>
        </a:ln>
        <a:effectLst/>
      </c:sp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4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MOD'!$E$9:$R$9</c:f>
              <c:strCache>
                <c:ptCount val="14"/>
                <c:pt idx="0">
                  <c:v>FY16</c:v>
                </c:pt>
                <c:pt idx="1">
                  <c:v>FY17</c:v>
                </c:pt>
                <c:pt idx="2">
                  <c:v>FY18</c:v>
                </c:pt>
                <c:pt idx="3">
                  <c:v>FY19</c:v>
                </c:pt>
                <c:pt idx="4">
                  <c:v>FY20</c:v>
                </c:pt>
                <c:pt idx="5">
                  <c:v>FY21</c:v>
                </c:pt>
                <c:pt idx="6">
                  <c:v>FY22</c:v>
                </c:pt>
                <c:pt idx="7">
                  <c:v>FY23</c:v>
                </c:pt>
                <c:pt idx="8">
                  <c:v>FY24</c:v>
                </c:pt>
                <c:pt idx="9">
                  <c:v>FY25E</c:v>
                </c:pt>
                <c:pt idx="10">
                  <c:v>FY26E</c:v>
                </c:pt>
                <c:pt idx="11">
                  <c:v>FY27E</c:v>
                </c:pt>
                <c:pt idx="12">
                  <c:v>FY28E</c:v>
                </c:pt>
                <c:pt idx="13">
                  <c:v>FY29E</c:v>
                </c:pt>
              </c:strCache>
            </c:strRef>
          </c:cat>
          <c:val>
            <c:numRef>
              <c:f>'BIZ MOD'!$E$13:$R$13</c:f>
              <c:numCache>
                <c:formatCode>0.0%</c:formatCode>
                <c:ptCount val="14"/>
                <c:pt idx="0">
                  <c:v>0.197</c:v>
                </c:pt>
                <c:pt idx="1">
                  <c:v>0.305758357578086</c:v>
                </c:pt>
                <c:pt idx="2">
                  <c:v>0.329045276831883</c:v>
                </c:pt>
                <c:pt idx="3">
                  <c:v>0.492313531979503</c:v>
                </c:pt>
                <c:pt idx="4">
                  <c:v>0.295264742040782</c:v>
                </c:pt>
                <c:pt idx="5">
                  <c:v>0.00924592524710355</c:v>
                </c:pt>
                <c:pt idx="6">
                  <c:v>0.388451996821948</c:v>
                </c:pt>
                <c:pt idx="7">
                  <c:v>0.182412705827397</c:v>
                </c:pt>
                <c:pt idx="8">
                  <c:v>0.0411851851851854</c:v>
                </c:pt>
                <c:pt idx="9">
                  <c:v>0.122220849933599</c:v>
                </c:pt>
                <c:pt idx="10">
                  <c:v>0.0752797154702167</c:v>
                </c:pt>
                <c:pt idx="11">
                  <c:v>0.0441397234467338</c:v>
                </c:pt>
                <c:pt idx="12">
                  <c:v>0.0453051972101572</c:v>
                </c:pt>
                <c:pt idx="13">
                  <c:v>0.0464053703187477</c:v>
                </c:pt>
              </c:numCache>
            </c:numRef>
          </c:val>
        </c:ser>
        <c:dLbls>
          <c:showLegendKey val="0"/>
          <c:showVal val="0"/>
          <c:showCatName val="0"/>
          <c:showSerName val="0"/>
          <c:showPercent val="0"/>
          <c:showBubbleSize val="0"/>
        </c:dLbls>
        <c:gapWidth val="100"/>
        <c:overlap val="-24"/>
        <c:axId val="1679898319"/>
        <c:axId val="1679900239"/>
      </c:barChart>
      <c:catAx>
        <c:axId val="1679898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400" b="1" i="0" u="none" strike="noStrike" kern="1200" baseline="0">
                <a:solidFill>
                  <a:schemeClr val="tx1">
                    <a:lumMod val="65000"/>
                    <a:lumOff val="35000"/>
                  </a:schemeClr>
                </a:solidFill>
                <a:latin typeface="+mn-lt"/>
                <a:ea typeface="+mn-ea"/>
                <a:cs typeface="+mn-cs"/>
              </a:defRPr>
            </a:pPr>
          </a:p>
        </c:txPr>
        <c:crossAx val="1679900239"/>
        <c:crosses val="autoZero"/>
        <c:auto val="1"/>
        <c:lblAlgn val="ctr"/>
        <c:lblOffset val="100"/>
        <c:noMultiLvlLbl val="0"/>
      </c:catAx>
      <c:valAx>
        <c:axId val="167990023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zh-CN" sz="1400" b="1" i="0" u="none" strike="noStrike" kern="1200" baseline="0">
                <a:solidFill>
                  <a:schemeClr val="tx1">
                    <a:lumMod val="65000"/>
                    <a:lumOff val="35000"/>
                  </a:schemeClr>
                </a:solidFill>
                <a:latin typeface="+mn-lt"/>
                <a:ea typeface="+mn-ea"/>
                <a:cs typeface="+mn-cs"/>
              </a:defRPr>
            </a:pPr>
          </a:p>
        </c:txPr>
        <c:crossAx val="1679898319"/>
        <c:crosses val="autoZero"/>
        <c:crossBetween val="between"/>
      </c:valAx>
      <c:spPr>
        <a:noFill/>
        <a:ln>
          <a:noFill/>
        </a:ln>
        <a:effectLst/>
      </c:spPr>
    </c:plotArea>
    <c:plotVisOnly val="1"/>
    <c:dispBlanksAs val="gap"/>
    <c:showDLblsOverMax val="0"/>
    <c:extLst>
      <c:ext uri="{0b15fc19-7d7d-44ad-8c2d-2c3a37ce22c3}">
        <chartProps xmlns="https://web.wps.cn/et/2018/main" chartId="{a6172fbc-485a-40d2-9f2c-c1e04f5b3339}"/>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zh-CN" sz="2800" b="0" i="0" u="none" strike="noStrike" kern="1200" spc="0" baseline="0">
                <a:solidFill>
                  <a:sysClr val="windowText" lastClr="000000">
                    <a:lumMod val="65000"/>
                    <a:lumOff val="35000"/>
                  </a:sysClr>
                </a:solidFill>
                <a:latin typeface="+mn-lt"/>
                <a:ea typeface="+mn-ea"/>
                <a:cs typeface="+mn-cs"/>
              </a:defRPr>
            </a:pPr>
            <a:r>
              <a:rPr lang="en-US" altLang="zh-CN" sz="2800" b="1" i="0" u="none" strike="noStrike" kern="1200" baseline="0">
                <a:solidFill>
                  <a:schemeClr val="tx1"/>
                </a:solidFill>
              </a:rPr>
              <a:t>JD: TTM Operating Margin/GP Margin</a:t>
            </a:r>
            <a:endParaRPr lang="en-US" altLang="zh-CN" sz="2800" b="1" i="0" u="none" strike="noStrike" kern="1200" baseline="0">
              <a:solidFill>
                <a:schemeClr val="tx1"/>
              </a:solidFill>
            </a:endParaRPr>
          </a:p>
        </c:rich>
      </c:tx>
      <c:layout/>
      <c:overlay val="0"/>
      <c:spPr>
        <a:noFill/>
        <a:ln>
          <a:noFill/>
        </a:ln>
        <a:effectLst/>
      </c:spPr>
    </c:title>
    <c:autoTitleDeleted val="0"/>
    <c:plotArea>
      <c:layout/>
      <c:barChart>
        <c:barDir val="col"/>
        <c:grouping val="clustered"/>
        <c:varyColors val="0"/>
        <c:ser>
          <c:idx val="0"/>
          <c:order val="0"/>
          <c:tx>
            <c:strRef>
              <c:f>"Operating margin"</c:f>
              <c:strCache>
                <c:ptCount val="1"/>
                <c:pt idx="0">
                  <c:v>Operating margin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28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MOD'!$K$9:$P$9</c:f>
              <c:strCache>
                <c:ptCount val="6"/>
                <c:pt idx="0">
                  <c:v>FY22</c:v>
                </c:pt>
                <c:pt idx="1">
                  <c:v>FY23</c:v>
                </c:pt>
                <c:pt idx="2">
                  <c:v>FY24</c:v>
                </c:pt>
                <c:pt idx="3">
                  <c:v>FY25E</c:v>
                </c:pt>
                <c:pt idx="4">
                  <c:v>FY26E</c:v>
                </c:pt>
                <c:pt idx="5">
                  <c:v>FY27E</c:v>
                </c:pt>
              </c:strCache>
            </c:strRef>
          </c:cat>
          <c:val>
            <c:numRef>
              <c:f>'BIZ MOD'!$K$19:$P$19</c:f>
              <c:numCache>
                <c:formatCode>0.0%</c:formatCode>
                <c:ptCount val="6"/>
                <c:pt idx="0">
                  <c:v>0.0842228191054537</c:v>
                </c:pt>
                <c:pt idx="1">
                  <c:v>0.0796049382716049</c:v>
                </c:pt>
                <c:pt idx="2">
                  <c:v>0.0879529501043447</c:v>
                </c:pt>
                <c:pt idx="3">
                  <c:v>0.0685425526675979</c:v>
                </c:pt>
                <c:pt idx="4">
                  <c:v>0.0686239946483634</c:v>
                </c:pt>
                <c:pt idx="5">
                  <c:v>0.0688178742017787</c:v>
                </c:pt>
              </c:numCache>
            </c:numRef>
          </c:val>
        </c:ser>
        <c:ser>
          <c:idx val="1"/>
          <c:order val="1"/>
          <c:tx>
            <c:strRef>
              <c:f>"GP margin"</c:f>
              <c:strCache>
                <c:ptCount val="1"/>
                <c:pt idx="0">
                  <c:v>GP margin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28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'BIZ MOD'!$K$16:$P$16</c:f>
              <c:numCache>
                <c:formatCode>0.0%</c:formatCode>
                <c:ptCount val="6"/>
                <c:pt idx="0">
                  <c:v>0.491416559616957</c:v>
                </c:pt>
                <c:pt idx="1">
                  <c:v>0.481738271604938</c:v>
                </c:pt>
                <c:pt idx="2">
                  <c:v>0.478846518687156</c:v>
                </c:pt>
                <c:pt idx="3">
                  <c:v>0.47</c:v>
                </c:pt>
                <c:pt idx="4">
                  <c:v>0.47</c:v>
                </c:pt>
                <c:pt idx="5">
                  <c:v>0.47</c:v>
                </c:pt>
              </c:numCache>
            </c:numRef>
          </c:val>
        </c:ser>
        <c:dLbls>
          <c:showLegendKey val="0"/>
          <c:showVal val="0"/>
          <c:showCatName val="0"/>
          <c:showSerName val="0"/>
          <c:showPercent val="0"/>
          <c:showBubbleSize val="0"/>
        </c:dLbls>
        <c:gapWidth val="219"/>
        <c:axId val="1679811439"/>
        <c:axId val="1679817679"/>
      </c:barChart>
      <c:catAx>
        <c:axId val="167981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2800" b="1" i="0" u="none" strike="noStrike" kern="1200" baseline="0">
                <a:solidFill>
                  <a:sysClr val="windowText" lastClr="000000"/>
                </a:solidFill>
                <a:latin typeface="+mn-lt"/>
                <a:ea typeface="+mn-ea"/>
                <a:cs typeface="+mn-cs"/>
              </a:defRPr>
            </a:pPr>
          </a:p>
        </c:txPr>
        <c:crossAx val="1679817679"/>
        <c:crosses val="autoZero"/>
        <c:auto val="1"/>
        <c:lblAlgn val="ctr"/>
        <c:lblOffset val="100"/>
        <c:noMultiLvlLbl val="0"/>
      </c:catAx>
      <c:valAx>
        <c:axId val="167981767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zh-CN" sz="2800" b="1" i="0" u="none" strike="noStrike" kern="1200" baseline="0">
                <a:solidFill>
                  <a:sysClr val="windowText" lastClr="000000"/>
                </a:solidFill>
                <a:latin typeface="+mn-lt"/>
                <a:ea typeface="+mn-ea"/>
                <a:cs typeface="+mn-cs"/>
              </a:defRPr>
            </a:pPr>
          </a:p>
        </c:txPr>
        <c:crossAx val="1679811439"/>
        <c:crosses val="autoZero"/>
        <c:crossBetween val="between"/>
      </c:valAx>
      <c:spPr>
        <a:noFill/>
        <a:ln>
          <a:noFill/>
        </a:ln>
        <a:effectLst/>
      </c:spPr>
    </c:plotArea>
    <c:plotVisOnly val="1"/>
    <c:dispBlanksAs val="gap"/>
    <c:showDLblsOverMax val="0"/>
    <c:extLst>
      <c:ext uri="{0b15fc19-7d7d-44ad-8c2d-2c3a37ce22c3}">
        <chartProps xmlns="https://web.wps.cn/et/2018/main" chartId="{9814a3e9-f634-4bb6-b73c-68480ac7bded}"/>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r>
              <a:rPr lang="de-DE" altLang="zh-CN" sz="3000" b="1" i="0" u="none" strike="noStrike" baseline="0"/>
              <a:t>Sales per sq.ft  VS. Profit per sq.ft</a:t>
            </a:r>
            <a:endParaRPr lang="zh-CN" sz="3000">
              <a:solidFill>
                <a:sysClr val="windowText" lastClr="000000"/>
              </a:solidFill>
            </a:endParaRPr>
          </a:p>
        </c:rich>
      </c:tx>
      <c:layout/>
      <c:overlay val="0"/>
      <c:spPr>
        <a:noFill/>
        <a:ln>
          <a:noFill/>
        </a:ln>
        <a:effectLst/>
      </c:spPr>
    </c:title>
    <c:autoTitleDeleted val="0"/>
    <c:plotArea>
      <c:layout/>
      <c:barChart>
        <c:barDir val="col"/>
        <c:grouping val="clustered"/>
        <c:varyColors val="0"/>
        <c:ser>
          <c:idx val="1"/>
          <c:order val="0"/>
          <c:tx>
            <c:strRef>
              <c:f>"Sales per sq.ft"</c:f>
              <c:strCache>
                <c:ptCount val="1"/>
                <c:pt idx="0">
                  <c:v>Sales per sq.ft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30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MOD'!$L$9:$P$9</c:f>
              <c:strCache>
                <c:ptCount val="5"/>
                <c:pt idx="0">
                  <c:v>FY23</c:v>
                </c:pt>
                <c:pt idx="1">
                  <c:v>FY24</c:v>
                </c:pt>
                <c:pt idx="2">
                  <c:v>FY25E</c:v>
                </c:pt>
                <c:pt idx="3">
                  <c:v>FY26E</c:v>
                </c:pt>
                <c:pt idx="4">
                  <c:v>FY27E</c:v>
                </c:pt>
              </c:strCache>
            </c:strRef>
          </c:cat>
          <c:val>
            <c:numRef>
              <c:f>'BIZ MOD'!$L$24:$P$24</c:f>
              <c:numCache>
                <c:formatCode>"£"#,##0</c:formatCode>
                <c:ptCount val="5"/>
                <c:pt idx="0">
                  <c:v>537.440235380655</c:v>
                </c:pt>
                <c:pt idx="1">
                  <c:v>577.590608138317</c:v>
                </c:pt>
                <c:pt idx="2">
                  <c:v>623.797856789383</c:v>
                </c:pt>
                <c:pt idx="3">
                  <c:v>654.987749628852</c:v>
                </c:pt>
                <c:pt idx="4">
                  <c:v>674.637382117718</c:v>
                </c:pt>
              </c:numCache>
            </c:numRef>
          </c:val>
        </c:ser>
        <c:ser>
          <c:idx val="2"/>
          <c:order val="1"/>
          <c:tx>
            <c:strRef>
              <c:f>"Profit per sq.ft"</c:f>
              <c:strCache>
                <c:ptCount val="1"/>
                <c:pt idx="0">
                  <c:v>Profit per sq.ft</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30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MOD'!$L$9:$P$9</c:f>
              <c:strCache>
                <c:ptCount val="5"/>
                <c:pt idx="0">
                  <c:v>FY23</c:v>
                </c:pt>
                <c:pt idx="1">
                  <c:v>FY24</c:v>
                </c:pt>
                <c:pt idx="2">
                  <c:v>FY25E</c:v>
                </c:pt>
                <c:pt idx="3">
                  <c:v>FY26E</c:v>
                </c:pt>
                <c:pt idx="4">
                  <c:v>FY27E</c:v>
                </c:pt>
              </c:strCache>
            </c:strRef>
          </c:cat>
          <c:val>
            <c:numRef>
              <c:f>'BIZ MOD'!$L$26:$P$26</c:f>
              <c:numCache>
                <c:formatCode>"£"#,##0</c:formatCode>
                <c:ptCount val="5"/>
                <c:pt idx="0">
                  <c:v>56.2812722542329</c:v>
                </c:pt>
                <c:pt idx="1">
                  <c:v>54.1015535870417</c:v>
                </c:pt>
                <c:pt idx="2">
                  <c:v>59.5117089457459</c:v>
                </c:pt>
                <c:pt idx="3">
                  <c:v>64.2726456614055</c:v>
                </c:pt>
                <c:pt idx="4">
                  <c:v>66.2008250312477</c:v>
                </c:pt>
              </c:numCache>
            </c:numRef>
          </c:val>
        </c:ser>
        <c:dLbls>
          <c:showLegendKey val="0"/>
          <c:showVal val="0"/>
          <c:showCatName val="0"/>
          <c:showSerName val="0"/>
          <c:showPercent val="0"/>
          <c:showBubbleSize val="0"/>
        </c:dLbls>
        <c:gapWidth val="219"/>
        <c:axId val="396685359"/>
        <c:axId val="396681039"/>
      </c:barChart>
      <c:catAx>
        <c:axId val="396685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crossAx val="396681039"/>
        <c:crosses val="autoZero"/>
        <c:auto val="1"/>
        <c:lblAlgn val="ctr"/>
        <c:lblOffset val="100"/>
        <c:noMultiLvlLbl val="0"/>
      </c:catAx>
      <c:valAx>
        <c:axId val="39668103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crossAx val="3966853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legend>
    <c:plotVisOnly val="1"/>
    <c:dispBlanksAs val="gap"/>
    <c:showDLblsOverMax val="0"/>
    <c:extLst>
      <c:ext uri="{0b15fc19-7d7d-44ad-8c2d-2c3a37ce22c3}">
        <chartProps xmlns="https://web.wps.cn/et/2018/main" chartId="{00d260c4-edaa-4d68-997e-e1a02c5fb33d}"/>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r>
              <a:rPr lang="de-DE" altLang="zh-CN" sz="3000" b="1" i="0" u="none" strike="noStrike" baseline="0">
                <a:solidFill>
                  <a:sysClr val="windowText" lastClr="000000"/>
                </a:solidFill>
              </a:rPr>
              <a:t>Revenue  VS. Operating Profit</a:t>
            </a:r>
            <a:endParaRPr lang="zh-CN" sz="3000">
              <a:solidFill>
                <a:sysClr val="windowText" lastClr="000000"/>
              </a:solidFill>
            </a:endParaRPr>
          </a:p>
        </c:rich>
      </c:tx>
      <c:layout/>
      <c:overlay val="0"/>
      <c:spPr>
        <a:noFill/>
        <a:ln>
          <a:noFill/>
        </a:ln>
        <a:effectLst/>
      </c:spPr>
    </c:title>
    <c:autoTitleDeleted val="0"/>
    <c:plotArea>
      <c:layout/>
      <c:barChart>
        <c:barDir val="col"/>
        <c:grouping val="clustered"/>
        <c:varyColors val="0"/>
        <c:ser>
          <c:idx val="1"/>
          <c:order val="0"/>
          <c:tx>
            <c:strRef>
              <c:f>"Revenue"</c:f>
              <c:strCache>
                <c:ptCount val="1"/>
                <c:pt idx="0">
                  <c:v>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30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MOD'!$L$9:$P$9</c:f>
              <c:strCache>
                <c:ptCount val="5"/>
                <c:pt idx="0">
                  <c:v>FY23</c:v>
                </c:pt>
                <c:pt idx="1">
                  <c:v>FY24</c:v>
                </c:pt>
                <c:pt idx="2">
                  <c:v>FY25E</c:v>
                </c:pt>
                <c:pt idx="3">
                  <c:v>FY26E</c:v>
                </c:pt>
                <c:pt idx="4">
                  <c:v>FY27E</c:v>
                </c:pt>
              </c:strCache>
            </c:strRef>
          </c:cat>
          <c:val>
            <c:numRef>
              <c:f>'BIZ MOD'!$L$12:$P$12</c:f>
              <c:numCache>
                <c:formatCode>"£"#,##0_);[Red]\("£"#,##0\)</c:formatCode>
                <c:ptCount val="5"/>
                <c:pt idx="0">
                  <c:v>10125</c:v>
                </c:pt>
                <c:pt idx="1">
                  <c:v>10542</c:v>
                </c:pt>
                <c:pt idx="2">
                  <c:v>11830.4522</c:v>
                </c:pt>
                <c:pt idx="3">
                  <c:v>12721.0452755</c:v>
                </c:pt>
                <c:pt idx="4">
                  <c:v>13282.548695914</c:v>
                </c:pt>
              </c:numCache>
            </c:numRef>
          </c:val>
        </c:ser>
        <c:ser>
          <c:idx val="2"/>
          <c:order val="1"/>
          <c:tx>
            <c:strRef>
              <c:f>"Operating Profit"</c:f>
              <c:strCache>
                <c:ptCount val="1"/>
                <c:pt idx="0">
                  <c:v>Operating Profit</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30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MOD'!$L$9:$P$9</c:f>
              <c:strCache>
                <c:ptCount val="5"/>
                <c:pt idx="0">
                  <c:v>FY23</c:v>
                </c:pt>
                <c:pt idx="1">
                  <c:v>FY24</c:v>
                </c:pt>
                <c:pt idx="2">
                  <c:v>FY25E</c:v>
                </c:pt>
                <c:pt idx="3">
                  <c:v>FY26E</c:v>
                </c:pt>
                <c:pt idx="4">
                  <c:v>FY27E</c:v>
                </c:pt>
              </c:strCache>
            </c:strRef>
          </c:cat>
          <c:val>
            <c:numRef>
              <c:f>'BIZ MOD'!$L$18:$P$18</c:f>
              <c:numCache>
                <c:formatCode>"£"#,##0</c:formatCode>
                <c:ptCount val="5"/>
                <c:pt idx="0">
                  <c:v>806</c:v>
                </c:pt>
                <c:pt idx="1">
                  <c:v>927.200000000002</c:v>
                </c:pt>
                <c:pt idx="2">
                  <c:v>810.889393</c:v>
                </c:pt>
                <c:pt idx="3">
                  <c:v>872.9689429075</c:v>
                </c:pt>
                <c:pt idx="4">
                  <c:v>914.076765234406</c:v>
                </c:pt>
              </c:numCache>
            </c:numRef>
          </c:val>
        </c:ser>
        <c:dLbls>
          <c:showLegendKey val="0"/>
          <c:showVal val="0"/>
          <c:showCatName val="0"/>
          <c:showSerName val="0"/>
          <c:showPercent val="0"/>
          <c:showBubbleSize val="0"/>
        </c:dLbls>
        <c:gapWidth val="219"/>
        <c:axId val="396685359"/>
        <c:axId val="396681039"/>
      </c:barChart>
      <c:catAx>
        <c:axId val="396685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crossAx val="396681039"/>
        <c:crosses val="autoZero"/>
        <c:auto val="1"/>
        <c:lblAlgn val="ctr"/>
        <c:lblOffset val="100"/>
        <c:noMultiLvlLbl val="0"/>
      </c:catAx>
      <c:valAx>
        <c:axId val="396681039"/>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crossAx val="3966853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legend>
    <c:plotVisOnly val="1"/>
    <c:dispBlanksAs val="gap"/>
    <c:showDLblsOverMax val="0"/>
    <c:extLst>
      <c:ext uri="{0b15fc19-7d7d-44ad-8c2d-2c3a37ce22c3}">
        <chartProps xmlns="https://web.wps.cn/et/2018/main" chartId="{410edbcc-10bd-491c-897d-70d88430fd8d}"/>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r>
              <a:rPr lang="de-DE" altLang="zh-CN" sz="3000" b="1" i="0" u="none" strike="noStrike" baseline="0">
                <a:solidFill>
                  <a:sysClr val="windowText" lastClr="000000"/>
                </a:solidFill>
              </a:rPr>
              <a:t>FCF  VS. OCF</a:t>
            </a:r>
            <a:endParaRPr lang="de-DE" altLang="zh-CN" sz="3000" b="1" i="0" u="none" strike="noStrike" baseline="0">
              <a:solidFill>
                <a:sysClr val="windowText" lastClr="000000"/>
              </a:solidFill>
            </a:endParaRPr>
          </a:p>
        </c:rich>
      </c:tx>
      <c:layout/>
      <c:overlay val="0"/>
      <c:spPr>
        <a:noFill/>
        <a:ln>
          <a:noFill/>
        </a:ln>
        <a:effectLst/>
      </c:spPr>
    </c:title>
    <c:autoTitleDeleted val="0"/>
    <c:plotArea>
      <c:layout/>
      <c:barChart>
        <c:barDir val="col"/>
        <c:grouping val="clustered"/>
        <c:varyColors val="0"/>
        <c:ser>
          <c:idx val="1"/>
          <c:order val="0"/>
          <c:tx>
            <c:strRef>
              <c:f>"FCF"</c:f>
              <c:strCache>
                <c:ptCount val="1"/>
                <c:pt idx="0">
                  <c:v>FCF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30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MOD'!$L$9:$P$9</c:f>
              <c:strCache>
                <c:ptCount val="5"/>
                <c:pt idx="0">
                  <c:v>FY23</c:v>
                </c:pt>
                <c:pt idx="1">
                  <c:v>FY24</c:v>
                </c:pt>
                <c:pt idx="2">
                  <c:v>FY25E</c:v>
                </c:pt>
                <c:pt idx="3">
                  <c:v>FY26E</c:v>
                </c:pt>
                <c:pt idx="4">
                  <c:v>FY27E</c:v>
                </c:pt>
              </c:strCache>
            </c:strRef>
          </c:cat>
          <c:val>
            <c:numRef>
              <c:f>'BIZ MOD'!$L$28:$P$28</c:f>
              <c:numCache>
                <c:formatCode>"£"#,##0</c:formatCode>
                <c:ptCount val="5"/>
                <c:pt idx="0">
                  <c:v>255.2</c:v>
                </c:pt>
                <c:pt idx="1">
                  <c:v>579.3</c:v>
                </c:pt>
                <c:pt idx="2">
                  <c:v>803.873658067061</c:v>
                </c:pt>
                <c:pt idx="3">
                  <c:v>909.339919086953</c:v>
                </c:pt>
                <c:pt idx="4">
                  <c:v>1100.63877889951</c:v>
                </c:pt>
              </c:numCache>
            </c:numRef>
          </c:val>
        </c:ser>
        <c:ser>
          <c:idx val="2"/>
          <c:order val="1"/>
          <c:tx>
            <c:strRef>
              <c:f>"OCF"</c:f>
              <c:strCache>
                <c:ptCount val="1"/>
                <c:pt idx="0">
                  <c:v>OCF</c:v>
                </c:pt>
              </c:strCache>
            </c:strRef>
          </c:tx>
          <c:spPr>
            <a:solidFill>
              <a:schemeClr val="accent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30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MOD'!$L$9:$P$9</c:f>
              <c:strCache>
                <c:ptCount val="5"/>
                <c:pt idx="0">
                  <c:v>FY23</c:v>
                </c:pt>
                <c:pt idx="1">
                  <c:v>FY24</c:v>
                </c:pt>
                <c:pt idx="2">
                  <c:v>FY25E</c:v>
                </c:pt>
                <c:pt idx="3">
                  <c:v>FY26E</c:v>
                </c:pt>
                <c:pt idx="4">
                  <c:v>FY27E</c:v>
                </c:pt>
              </c:strCache>
            </c:strRef>
          </c:cat>
          <c:val>
            <c:numRef>
              <c:f>'BIZ MOD'!$L$31:$P$31</c:f>
              <c:numCache>
                <c:formatCode>"£"#,##0</c:formatCode>
                <c:ptCount val="5"/>
                <c:pt idx="0">
                  <c:v>1081.5</c:v>
                </c:pt>
                <c:pt idx="1">
                  <c:v>1140.8</c:v>
                </c:pt>
                <c:pt idx="2">
                  <c:v>1380</c:v>
                </c:pt>
                <c:pt idx="3">
                  <c:v>1243.1269632</c:v>
                </c:pt>
                <c:pt idx="4">
                  <c:v>1335.647952928</c:v>
                </c:pt>
              </c:numCache>
            </c:numRef>
          </c:val>
        </c:ser>
        <c:dLbls>
          <c:showLegendKey val="0"/>
          <c:showVal val="0"/>
          <c:showCatName val="0"/>
          <c:showSerName val="0"/>
          <c:showPercent val="0"/>
          <c:showBubbleSize val="0"/>
        </c:dLbls>
        <c:gapWidth val="219"/>
        <c:axId val="396685359"/>
        <c:axId val="396681039"/>
      </c:barChart>
      <c:catAx>
        <c:axId val="3966853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crossAx val="396681039"/>
        <c:crosses val="autoZero"/>
        <c:auto val="1"/>
        <c:lblAlgn val="ctr"/>
        <c:lblOffset val="100"/>
        <c:noMultiLvlLbl val="0"/>
      </c:catAx>
      <c:valAx>
        <c:axId val="39668103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crossAx val="3966853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legend>
    <c:plotVisOnly val="1"/>
    <c:dispBlanksAs val="gap"/>
    <c:showDLblsOverMax val="0"/>
    <c:extLst>
      <c:ext uri="{0b15fc19-7d7d-44ad-8c2d-2c3a37ce22c3}">
        <chartProps xmlns="https://web.wps.cn/et/2018/main" chartId="{89936483-01ef-491d-a733-ef60597d6d9d}"/>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3000" b="1" i="0" u="none" strike="noStrike" kern="1200" baseline="0">
              <a:solidFill>
                <a:sysClr val="windowText" lastClr="000000"/>
              </a:solidFill>
              <a:latin typeface="+mn-lt"/>
              <a:ea typeface="+mn-ea"/>
              <a:cs typeface="+mn-cs"/>
            </a:defRPr>
          </a:pPr>
        </a:p>
      </c:txPr>
    </c:title>
    <c:autoTitleDeleted val="0"/>
    <c:plotArea>
      <c:layout/>
      <c:barChart>
        <c:barDir val="col"/>
        <c:grouping val="clustered"/>
        <c:varyColors val="0"/>
        <c:ser>
          <c:idx val="0"/>
          <c:order val="0"/>
          <c:tx>
            <c:strRef>
              <c:f>"Diluted EPS"</c:f>
              <c:strCache>
                <c:ptCount val="1"/>
                <c:pt idx="0">
                  <c:v>Diluted EPS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2200" b="1" i="0" u="none" strike="noStrike" kern="1200" baseline="0">
                    <a:solidFill>
                      <a:sysClr val="windowText" lastClr="00000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'BIZ MOD'!$J$9:$P$9</c:f>
              <c:strCache>
                <c:ptCount val="7"/>
                <c:pt idx="0">
                  <c:v>FY21</c:v>
                </c:pt>
                <c:pt idx="1">
                  <c:v>FY22</c:v>
                </c:pt>
                <c:pt idx="2">
                  <c:v>FY23</c:v>
                </c:pt>
                <c:pt idx="3">
                  <c:v>FY24</c:v>
                </c:pt>
                <c:pt idx="4">
                  <c:v>FY25E</c:v>
                </c:pt>
                <c:pt idx="5">
                  <c:v>FY26E</c:v>
                </c:pt>
                <c:pt idx="6">
                  <c:v>FY27E</c:v>
                </c:pt>
              </c:strCache>
            </c:strRef>
          </c:cat>
          <c:val>
            <c:numRef>
              <c:f>'BIZ MOD'!$J$35:$P$35</c:f>
              <c:numCache>
                <c:formatCode>"£"#,##0.00</c:formatCode>
                <c:ptCount val="7"/>
                <c:pt idx="0">
                  <c:v>0.0460937849672118</c:v>
                </c:pt>
                <c:pt idx="1">
                  <c:v>0.0716731816060417</c:v>
                </c:pt>
                <c:pt idx="2">
                  <c:v>0.0365028743812353</c:v>
                </c:pt>
                <c:pt idx="3">
                  <c:v>0.103952515717876</c:v>
                </c:pt>
                <c:pt idx="4">
                  <c:v>0.0900151916766737</c:v>
                </c:pt>
                <c:pt idx="5">
                  <c:v>0.0980569068624533</c:v>
                </c:pt>
                <c:pt idx="6">
                  <c:v>0.103381968006633</c:v>
                </c:pt>
              </c:numCache>
            </c:numRef>
          </c:val>
        </c:ser>
        <c:dLbls>
          <c:showLegendKey val="0"/>
          <c:showVal val="0"/>
          <c:showCatName val="0"/>
          <c:showSerName val="0"/>
          <c:showPercent val="0"/>
          <c:showBubbleSize val="0"/>
        </c:dLbls>
        <c:gapWidth val="100"/>
        <c:overlap val="-24"/>
        <c:axId val="857832719"/>
        <c:axId val="857833679"/>
      </c:barChart>
      <c:catAx>
        <c:axId val="8578327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2000" b="1" i="0" u="none" strike="noStrike" kern="1200" baseline="0">
                <a:solidFill>
                  <a:sysClr val="windowText" lastClr="000000"/>
                </a:solidFill>
                <a:latin typeface="+mn-lt"/>
                <a:ea typeface="+mn-ea"/>
                <a:cs typeface="+mn-cs"/>
              </a:defRPr>
            </a:pPr>
          </a:p>
        </c:txPr>
        <c:crossAx val="857833679"/>
        <c:crosses val="autoZero"/>
        <c:auto val="1"/>
        <c:lblAlgn val="ctr"/>
        <c:lblOffset val="100"/>
        <c:noMultiLvlLbl val="0"/>
      </c:catAx>
      <c:valAx>
        <c:axId val="85783367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lang="zh-CN" sz="2000" b="1" i="0" u="none" strike="noStrike" kern="1200" baseline="0">
                <a:solidFill>
                  <a:sysClr val="windowText" lastClr="000000"/>
                </a:solidFill>
                <a:latin typeface="+mn-lt"/>
                <a:ea typeface="+mn-ea"/>
                <a:cs typeface="+mn-cs"/>
              </a:defRPr>
            </a:pPr>
          </a:p>
        </c:txPr>
        <c:crossAx val="857832719"/>
        <c:crosses val="autoZero"/>
        <c:crossBetween val="between"/>
      </c:valAx>
      <c:spPr>
        <a:noFill/>
        <a:ln>
          <a:noFill/>
        </a:ln>
        <a:effectLst/>
      </c:spPr>
    </c:plotArea>
    <c:plotVisOnly val="1"/>
    <c:dispBlanksAs val="gap"/>
    <c:showDLblsOverMax val="0"/>
    <c:extLst>
      <c:ext uri="{0b15fc19-7d7d-44ad-8c2d-2c3a37ce22c3}">
        <chartProps xmlns="https://web.wps.cn/et/2018/main" chartId="{df1128ea-0d3c-42d4-841f-470b0b622954}"/>
      </c:ext>
    </c:extLst>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11454</xdr:colOff>
      <xdr:row>39</xdr:row>
      <xdr:rowOff>9213</xdr:rowOff>
    </xdr:from>
    <xdr:to>
      <xdr:col>15</xdr:col>
      <xdr:colOff>615950</xdr:colOff>
      <xdr:row>67</xdr:row>
      <xdr:rowOff>91887</xdr:rowOff>
    </xdr:to>
    <xdr:graphicFrame>
      <xdr:nvGraphicFramePr>
        <xdr:cNvPr id="2" name="图表 1"/>
        <xdr:cNvGraphicFramePr/>
      </xdr:nvGraphicFramePr>
      <xdr:xfrm>
        <a:off x="4758690" y="9048115"/>
        <a:ext cx="8747125" cy="55943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265094</xdr:colOff>
      <xdr:row>44</xdr:row>
      <xdr:rowOff>202664</xdr:rowOff>
    </xdr:from>
    <xdr:to>
      <xdr:col>29</xdr:col>
      <xdr:colOff>458315</xdr:colOff>
      <xdr:row>75</xdr:row>
      <xdr:rowOff>48080</xdr:rowOff>
    </xdr:to>
    <xdr:graphicFrame>
      <xdr:nvGraphicFramePr>
        <xdr:cNvPr id="3" name="图表 2"/>
        <xdr:cNvGraphicFramePr/>
      </xdr:nvGraphicFramePr>
      <xdr:xfrm>
        <a:off x="5941060" y="11080115"/>
        <a:ext cx="16946880" cy="73190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40</xdr:row>
      <xdr:rowOff>97271</xdr:rowOff>
    </xdr:from>
    <xdr:to>
      <xdr:col>14</xdr:col>
      <xdr:colOff>524741</xdr:colOff>
      <xdr:row>74</xdr:row>
      <xdr:rowOff>17319</xdr:rowOff>
    </xdr:to>
    <xdr:graphicFrame>
      <xdr:nvGraphicFramePr>
        <xdr:cNvPr id="2" name="图表 1"/>
        <xdr:cNvGraphicFramePr/>
      </xdr:nvGraphicFramePr>
      <xdr:xfrm>
        <a:off x="0" y="9558655"/>
        <a:ext cx="13448030" cy="79082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44994</xdr:colOff>
      <xdr:row>40</xdr:row>
      <xdr:rowOff>70199</xdr:rowOff>
    </xdr:from>
    <xdr:to>
      <xdr:col>32</xdr:col>
      <xdr:colOff>153307</xdr:colOff>
      <xdr:row>74</xdr:row>
      <xdr:rowOff>88672</xdr:rowOff>
    </xdr:to>
    <xdr:graphicFrame>
      <xdr:nvGraphicFramePr>
        <xdr:cNvPr id="4" name="图表 3"/>
        <xdr:cNvGraphicFramePr/>
      </xdr:nvGraphicFramePr>
      <xdr:xfrm>
        <a:off x="14547215" y="9531350"/>
        <a:ext cx="12331065" cy="80067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105064</xdr:colOff>
      <xdr:row>26</xdr:row>
      <xdr:rowOff>221670</xdr:rowOff>
    </xdr:from>
    <xdr:to>
      <xdr:col>51</xdr:col>
      <xdr:colOff>163512</xdr:colOff>
      <xdr:row>75</xdr:row>
      <xdr:rowOff>163512</xdr:rowOff>
    </xdr:to>
    <xdr:graphicFrame>
      <xdr:nvGraphicFramePr>
        <xdr:cNvPr id="9" name="图表 8"/>
        <xdr:cNvGraphicFramePr/>
      </xdr:nvGraphicFramePr>
      <xdr:xfrm>
        <a:off x="28357830" y="6393815"/>
        <a:ext cx="13044805" cy="1145413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81</xdr:row>
      <xdr:rowOff>85724</xdr:rowOff>
    </xdr:from>
    <xdr:to>
      <xdr:col>14</xdr:col>
      <xdr:colOff>87023</xdr:colOff>
      <xdr:row>119</xdr:row>
      <xdr:rowOff>40266</xdr:rowOff>
    </xdr:to>
    <xdr:graphicFrame>
      <xdr:nvGraphicFramePr>
        <xdr:cNvPr id="11" name="图表 10"/>
        <xdr:cNvGraphicFramePr/>
      </xdr:nvGraphicFramePr>
      <xdr:xfrm>
        <a:off x="0" y="19179540"/>
        <a:ext cx="13010515" cy="88830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523875</xdr:colOff>
      <xdr:row>80</xdr:row>
      <xdr:rowOff>214312</xdr:rowOff>
    </xdr:from>
    <xdr:to>
      <xdr:col>33</xdr:col>
      <xdr:colOff>560098</xdr:colOff>
      <xdr:row>118</xdr:row>
      <xdr:rowOff>165679</xdr:rowOff>
    </xdr:to>
    <xdr:graphicFrame>
      <xdr:nvGraphicFramePr>
        <xdr:cNvPr id="14" name="图表 13"/>
        <xdr:cNvGraphicFramePr/>
      </xdr:nvGraphicFramePr>
      <xdr:xfrm>
        <a:off x="15026640" y="19073495"/>
        <a:ext cx="13022580" cy="887920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98424</xdr:colOff>
      <xdr:row>11</xdr:row>
      <xdr:rowOff>172893</xdr:rowOff>
    </xdr:from>
    <xdr:to>
      <xdr:col>30</xdr:col>
      <xdr:colOff>0</xdr:colOff>
      <xdr:row>34</xdr:row>
      <xdr:rowOff>225136</xdr:rowOff>
    </xdr:to>
    <xdr:graphicFrame>
      <xdr:nvGraphicFramePr>
        <xdr:cNvPr id="15" name="图表 14"/>
        <xdr:cNvGraphicFramePr/>
      </xdr:nvGraphicFramePr>
      <xdr:xfrm>
        <a:off x="16892270" y="2820670"/>
        <a:ext cx="8305165" cy="54559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N65"/>
  <sheetViews>
    <sheetView showGridLines="0" zoomScale="70" zoomScaleNormal="70" workbookViewId="0">
      <pane xSplit="3" ySplit="4" topLeftCell="D19" activePane="bottomRight" state="frozen"/>
      <selection/>
      <selection pane="topRight"/>
      <selection pane="bottomLeft"/>
      <selection pane="bottomRight" activeCell="R49" sqref="R49"/>
    </sheetView>
  </sheetViews>
  <sheetFormatPr defaultColWidth="9.25384615384615" defaultRowHeight="18.5"/>
  <cols>
    <col min="1" max="1" width="2.12307692307692" style="2" customWidth="1"/>
    <col min="2" max="2" width="22.3769230769231" style="2" customWidth="1"/>
    <col min="3" max="3" width="14.3769230769231" style="2" customWidth="1"/>
    <col min="4" max="4" width="1.87692307692308" style="2" customWidth="1"/>
    <col min="5" max="5" width="16.1230769230769" style="2" customWidth="1"/>
    <col min="6" max="6" width="9.25384615384615" style="2"/>
    <col min="7" max="7" width="8.12307692307692" style="2" customWidth="1"/>
    <col min="8" max="10" width="9.25384615384615" style="2"/>
    <col min="11" max="11" width="11.5" style="2" customWidth="1"/>
    <col min="12" max="13" width="10.8769230769231" style="2" customWidth="1"/>
    <col min="14" max="14" width="11.1230769230769" style="2" hidden="1" customWidth="1"/>
    <col min="15" max="15" width="10.6230769230769" style="2" hidden="1" customWidth="1"/>
    <col min="16" max="16" width="2.37692307692308" style="2" customWidth="1"/>
    <col min="17" max="17" width="14.7538461538462" style="2" customWidth="1"/>
    <col min="18" max="18" width="10" style="2" customWidth="1"/>
    <col min="19" max="19" width="6.87692307692308" style="2" customWidth="1"/>
    <col min="20" max="20" width="11.5" style="2" customWidth="1"/>
    <col min="21" max="21" width="9.75384615384615" style="2" customWidth="1"/>
    <col min="22" max="22" width="2.12307692307692" style="2" customWidth="1"/>
    <col min="23" max="23" width="16.3769230769231" style="2" customWidth="1"/>
    <col min="24" max="24" width="9.25384615384615" style="2" customWidth="1"/>
    <col min="25" max="25" width="12.1230769230769" style="2" customWidth="1"/>
    <col min="26" max="26" width="11.5" style="2" customWidth="1"/>
    <col min="27" max="27" width="9.12307692307692" style="2" customWidth="1"/>
    <col min="28" max="28" width="2.87692307692308" style="2" customWidth="1"/>
    <col min="29" max="29" width="9.75384615384615" style="2" customWidth="1"/>
    <col min="30" max="30" width="7.62307692307692" style="2" customWidth="1"/>
    <col min="31" max="31" width="2.5" style="2" customWidth="1"/>
    <col min="32" max="32" width="6.25384615384615" style="2" customWidth="1"/>
    <col min="33" max="33" width="7.62307692307692" style="2" customWidth="1"/>
    <col min="34" max="34" width="2.25384615384615" style="2" customWidth="1"/>
    <col min="35" max="35" width="9.25384615384615" style="2"/>
    <col min="36" max="36" width="2.37692307692308" style="2" customWidth="1"/>
    <col min="37" max="38" width="9.25384615384615" style="2"/>
    <col min="39" max="39" width="3" style="2" customWidth="1"/>
    <col min="40" max="40" width="9.5" style="2" customWidth="1"/>
    <col min="41" max="16384" width="9.25384615384615" style="2"/>
  </cols>
  <sheetData>
    <row r="1" spans="3:3">
      <c r="C1" s="99"/>
    </row>
    <row r="2" spans="2:3">
      <c r="B2" s="8" t="s">
        <v>0</v>
      </c>
      <c r="C2" s="477" t="s">
        <v>1</v>
      </c>
    </row>
    <row r="3" spans="2:3">
      <c r="B3" s="8" t="s">
        <v>2</v>
      </c>
      <c r="C3" s="477" t="s">
        <v>3</v>
      </c>
    </row>
    <row r="4" ht="23.5" spans="2:15">
      <c r="B4" s="8" t="s">
        <v>4</v>
      </c>
      <c r="C4" s="477" t="s">
        <v>5</v>
      </c>
      <c r="F4" s="94" t="s">
        <v>6</v>
      </c>
      <c r="G4" s="94" t="s">
        <v>7</v>
      </c>
      <c r="H4" s="94" t="s">
        <v>8</v>
      </c>
      <c r="I4" s="94" t="s">
        <v>9</v>
      </c>
      <c r="J4" s="94" t="s">
        <v>10</v>
      </c>
      <c r="K4" s="94" t="s">
        <v>11</v>
      </c>
      <c r="L4" s="94" t="s">
        <v>12</v>
      </c>
      <c r="M4" s="94" t="s">
        <v>13</v>
      </c>
      <c r="N4" s="94" t="s">
        <v>14</v>
      </c>
      <c r="O4" s="94" t="s">
        <v>15</v>
      </c>
    </row>
    <row r="5" spans="5:15">
      <c r="E5" s="8" t="s">
        <v>16</v>
      </c>
      <c r="F5" s="96">
        <f>MOD!J172</f>
        <v>6110.8</v>
      </c>
      <c r="G5" s="96">
        <f>MOD!K172</f>
        <v>6167.3</v>
      </c>
      <c r="H5" s="96">
        <f>MOD!O172</f>
        <v>8563</v>
      </c>
      <c r="I5" s="96">
        <f>MOD!S172</f>
        <v>10125</v>
      </c>
      <c r="J5" s="96">
        <f>MOD!W172</f>
        <v>10542</v>
      </c>
      <c r="K5" s="96">
        <f>MOD!AA172</f>
        <v>11832.04352</v>
      </c>
      <c r="L5" s="96">
        <f>MOD!AB172</f>
        <v>12722.7997058</v>
      </c>
      <c r="M5" s="96">
        <f>MOD!AC172</f>
        <v>13390.773711501</v>
      </c>
      <c r="N5" s="96">
        <f>MOD!AD172</f>
        <v>13999.1331030721</v>
      </c>
      <c r="O5" s="96">
        <f>MOD!AE172</f>
        <v>14529.5566808024</v>
      </c>
    </row>
    <row r="6" ht="26" spans="2:33">
      <c r="B6" s="104" t="s">
        <v>17</v>
      </c>
      <c r="C6" s="104"/>
      <c r="E6" s="2" t="s">
        <v>18</v>
      </c>
      <c r="F6" s="16">
        <v>0.295</v>
      </c>
      <c r="G6" s="16">
        <f t="shared" ref="G6:O6" si="0">G5/F5-1</f>
        <v>0.00924592524710355</v>
      </c>
      <c r="H6" s="16">
        <f t="shared" si="0"/>
        <v>0.388451996821948</v>
      </c>
      <c r="I6" s="16">
        <f t="shared" si="0"/>
        <v>0.182412705827397</v>
      </c>
      <c r="J6" s="16">
        <f t="shared" si="0"/>
        <v>0.0411851851851852</v>
      </c>
      <c r="K6" s="16">
        <f t="shared" si="0"/>
        <v>0.122371800417378</v>
      </c>
      <c r="L6" s="16">
        <f t="shared" si="0"/>
        <v>0.0752833763917731</v>
      </c>
      <c r="M6" s="16">
        <f t="shared" si="0"/>
        <v>0.0525021238365049</v>
      </c>
      <c r="N6" s="16">
        <f t="shared" si="0"/>
        <v>0.0454312353175417</v>
      </c>
      <c r="O6" s="16">
        <f t="shared" si="0"/>
        <v>0.0378897445881012</v>
      </c>
      <c r="Q6" s="104" t="s">
        <v>19</v>
      </c>
      <c r="R6" s="104"/>
      <c r="S6" s="104"/>
      <c r="T6" s="104"/>
      <c r="U6" s="104"/>
      <c r="W6" s="104" t="s">
        <v>20</v>
      </c>
      <c r="X6" s="104"/>
      <c r="Y6" s="104"/>
      <c r="Z6" s="104"/>
      <c r="AA6" s="104"/>
      <c r="AB6" s="503"/>
      <c r="AC6" s="104" t="s">
        <v>21</v>
      </c>
      <c r="AD6" s="104"/>
      <c r="AE6" s="503"/>
      <c r="AF6" s="104" t="s">
        <v>22</v>
      </c>
      <c r="AG6" s="104"/>
    </row>
    <row r="7" spans="2:35">
      <c r="B7" s="8" t="s">
        <v>23</v>
      </c>
      <c r="C7" s="98">
        <v>0.679</v>
      </c>
      <c r="Q7" s="132" t="s">
        <v>24</v>
      </c>
      <c r="R7" s="132" t="s">
        <v>25</v>
      </c>
      <c r="S7" s="132" t="s">
        <v>26</v>
      </c>
      <c r="T7" s="132" t="s">
        <v>27</v>
      </c>
      <c r="U7" s="132" t="s">
        <v>28</v>
      </c>
      <c r="W7" s="132" t="s">
        <v>29</v>
      </c>
      <c r="X7" s="132" t="s">
        <v>30</v>
      </c>
      <c r="Y7" s="132" t="s">
        <v>31</v>
      </c>
      <c r="Z7" s="132" t="s">
        <v>32</v>
      </c>
      <c r="AA7" s="132" t="s">
        <v>33</v>
      </c>
      <c r="AB7" s="504"/>
      <c r="AC7" s="502" t="s">
        <v>26</v>
      </c>
      <c r="AD7" s="502" t="s">
        <v>34</v>
      </c>
      <c r="AF7" s="502" t="s">
        <v>26</v>
      </c>
      <c r="AG7" s="502" t="s">
        <v>34</v>
      </c>
      <c r="AI7" s="502" t="s">
        <v>35</v>
      </c>
    </row>
    <row r="8" spans="2:35">
      <c r="B8" s="2" t="s">
        <v>36</v>
      </c>
      <c r="C8" s="39">
        <f>MOD!AA238</f>
        <v>5183.135745</v>
      </c>
      <c r="E8" s="8" t="s">
        <v>37</v>
      </c>
      <c r="F8" s="96">
        <f>MOD!J246</f>
        <v>876.6</v>
      </c>
      <c r="G8" s="96">
        <f>MOD!K246</f>
        <v>884.2</v>
      </c>
      <c r="H8" s="96">
        <f>MOD!O246</f>
        <v>1301.1</v>
      </c>
      <c r="I8" s="96">
        <f>MOD!S246</f>
        <v>1439.2</v>
      </c>
      <c r="J8" s="96">
        <f>MOD!W246</f>
        <v>1835.2</v>
      </c>
      <c r="K8" s="96">
        <f>MOD!AA246</f>
        <v>1617.0828288</v>
      </c>
      <c r="L8" s="96">
        <f>MOD!AB246</f>
        <v>1742.981980877</v>
      </c>
      <c r="M8" s="96">
        <f>MOD!AC246</f>
        <v>1841.40029124756</v>
      </c>
      <c r="N8" s="96">
        <f>MOD!AD246</f>
        <v>1935.94365169969</v>
      </c>
      <c r="O8" s="96">
        <f>MOD!AE246</f>
        <v>2025.42118425215</v>
      </c>
      <c r="Q8" s="494" t="s">
        <v>38</v>
      </c>
      <c r="R8" s="495">
        <v>0.13</v>
      </c>
      <c r="S8" s="496">
        <v>9.7</v>
      </c>
      <c r="T8" s="497">
        <f>S8*R8</f>
        <v>1.261</v>
      </c>
      <c r="U8" s="498">
        <f>T8/$C$7-1</f>
        <v>0.857142857142857</v>
      </c>
      <c r="W8" s="499">
        <v>0.81</v>
      </c>
      <c r="X8" s="332">
        <f t="shared" ref="X8:X49" si="1">$T$11/W8-1</f>
        <v>0.087883500623684</v>
      </c>
      <c r="Y8" s="332">
        <f t="shared" ref="Y8:Y49" si="2">$T$12/W8-1</f>
        <v>-0.518518518518519</v>
      </c>
      <c r="Z8" s="106">
        <f t="shared" ref="Z8:Z49" si="3">X8/-Y8</f>
        <v>0.169489608345676</v>
      </c>
      <c r="AA8" s="332">
        <f t="shared" ref="AA8:AA49" si="4">W8/$C$7-1</f>
        <v>0.192930780559647</v>
      </c>
      <c r="AC8" s="505">
        <f t="shared" ref="AC8:AC49" si="5">W8/$K$19</f>
        <v>9.44630389854825</v>
      </c>
      <c r="AD8" s="505">
        <f t="shared" ref="AD8:AD49" si="6">W8/$K$21</f>
        <v>10.125</v>
      </c>
      <c r="AE8" s="506"/>
      <c r="AF8" s="505">
        <f t="shared" ref="AF8:AF49" si="7">W8/$L$19</f>
        <v>8.05001542808553</v>
      </c>
      <c r="AG8" s="505">
        <f t="shared" ref="AG8:AG49" si="8">W8/$L$21</f>
        <v>6.75</v>
      </c>
      <c r="AI8" s="180">
        <f t="shared" ref="AI8:AI49" si="9">$C$20/W8</f>
        <v>0.298927674727412</v>
      </c>
    </row>
    <row r="9" spans="2:35">
      <c r="B9" s="8" t="s">
        <v>39</v>
      </c>
      <c r="C9" s="96">
        <f>C8*C7</f>
        <v>3519.349170855</v>
      </c>
      <c r="E9" s="2" t="s">
        <v>40</v>
      </c>
      <c r="F9" s="16">
        <f t="shared" ref="F9:O9" si="10">F8/F5</f>
        <v>0.143450939320547</v>
      </c>
      <c r="G9" s="16">
        <f t="shared" si="10"/>
        <v>0.1433690593939</v>
      </c>
      <c r="H9" s="16">
        <f t="shared" si="10"/>
        <v>0.151944412005138</v>
      </c>
      <c r="I9" s="16">
        <f t="shared" si="10"/>
        <v>0.142143209876543</v>
      </c>
      <c r="J9" s="16">
        <f t="shared" si="10"/>
        <v>0.174084613925251</v>
      </c>
      <c r="K9" s="16">
        <f t="shared" si="10"/>
        <v>0.136669783716279</v>
      </c>
      <c r="L9" s="16">
        <f t="shared" si="10"/>
        <v>0.136996731944339</v>
      </c>
      <c r="M9" s="16">
        <f t="shared" si="10"/>
        <v>0.13751261360395</v>
      </c>
      <c r="N9" s="16">
        <f t="shared" si="10"/>
        <v>0.138290252506767</v>
      </c>
      <c r="O9" s="16">
        <f t="shared" si="10"/>
        <v>0.139400067651638</v>
      </c>
      <c r="Q9" s="494" t="s">
        <v>41</v>
      </c>
      <c r="R9" s="495">
        <f>K19</f>
        <v>0.0857478235613915</v>
      </c>
      <c r="S9" s="496">
        <v>8.8</v>
      </c>
      <c r="T9" s="497">
        <f>S9*R9</f>
        <v>0.754580847340245</v>
      </c>
      <c r="U9" s="498">
        <f>T9/$C$7-1</f>
        <v>0.111311999028344</v>
      </c>
      <c r="W9" s="499">
        <f t="shared" ref="W9:W49" si="11">W8-0.01</f>
        <v>0.8</v>
      </c>
      <c r="X9" s="332">
        <f t="shared" si="1"/>
        <v>0.10148204438148</v>
      </c>
      <c r="Y9" s="332">
        <f t="shared" si="2"/>
        <v>-0.5125</v>
      </c>
      <c r="Z9" s="106">
        <f t="shared" si="3"/>
        <v>0.198013745134595</v>
      </c>
      <c r="AA9" s="332">
        <f t="shared" si="4"/>
        <v>0.17820324005891</v>
      </c>
      <c r="AC9" s="505">
        <f t="shared" si="5"/>
        <v>9.3296828627637</v>
      </c>
      <c r="AD9" s="505">
        <f t="shared" si="6"/>
        <v>10</v>
      </c>
      <c r="AE9" s="506"/>
      <c r="AF9" s="505">
        <f t="shared" si="7"/>
        <v>7.95063252156595</v>
      </c>
      <c r="AG9" s="505">
        <f t="shared" si="8"/>
        <v>6.66666666666667</v>
      </c>
      <c r="AI9" s="180">
        <f t="shared" si="9"/>
        <v>0.302664270661505</v>
      </c>
    </row>
    <row r="10" spans="2:35">
      <c r="B10" s="2" t="s">
        <v>42</v>
      </c>
      <c r="C10" s="117">
        <f>MOD!Y311</f>
        <v>5983.5</v>
      </c>
      <c r="E10" s="2" t="s">
        <v>18</v>
      </c>
      <c r="F10" s="16">
        <v>0.901</v>
      </c>
      <c r="G10" s="16">
        <f t="shared" ref="G10:O10" si="12">G9/F9-1</f>
        <v>-0.000570786967551085</v>
      </c>
      <c r="H10" s="16">
        <f t="shared" si="12"/>
        <v>0.0598131329555411</v>
      </c>
      <c r="I10" s="16">
        <f t="shared" si="12"/>
        <v>-0.0645051831735918</v>
      </c>
      <c r="J10" s="16">
        <f t="shared" si="12"/>
        <v>0.224712837682859</v>
      </c>
      <c r="K10" s="16">
        <f t="shared" si="12"/>
        <v>-0.214923245457165</v>
      </c>
      <c r="L10" s="16">
        <f t="shared" si="12"/>
        <v>0.00239224954609529</v>
      </c>
      <c r="M10" s="16">
        <f t="shared" si="12"/>
        <v>0.00376564938658874</v>
      </c>
      <c r="N10" s="16">
        <f t="shared" si="12"/>
        <v>0.00565503689033919</v>
      </c>
      <c r="O10" s="16">
        <f t="shared" si="12"/>
        <v>0.00802525937116294</v>
      </c>
      <c r="Q10" s="494" t="s">
        <v>43</v>
      </c>
      <c r="R10" s="495">
        <v>0.05</v>
      </c>
      <c r="S10" s="496">
        <v>7.8</v>
      </c>
      <c r="T10" s="497">
        <f>S10*R10</f>
        <v>0.39</v>
      </c>
      <c r="U10" s="498">
        <f>T10/$C$7-1</f>
        <v>-0.425625920471281</v>
      </c>
      <c r="W10" s="499">
        <f t="shared" si="11"/>
        <v>0.79</v>
      </c>
      <c r="X10" s="332">
        <f t="shared" si="1"/>
        <v>0.115424855069853</v>
      </c>
      <c r="Y10" s="332">
        <f t="shared" si="2"/>
        <v>-0.506329113924051</v>
      </c>
      <c r="Z10" s="106">
        <f t="shared" si="3"/>
        <v>0.22796408876296</v>
      </c>
      <c r="AA10" s="332">
        <f t="shared" si="4"/>
        <v>0.163475699558174</v>
      </c>
      <c r="AC10" s="505">
        <f t="shared" si="5"/>
        <v>9.21306182697916</v>
      </c>
      <c r="AD10" s="505">
        <f t="shared" si="6"/>
        <v>9.875</v>
      </c>
      <c r="AE10" s="506"/>
      <c r="AF10" s="505">
        <f t="shared" si="7"/>
        <v>7.85124961504638</v>
      </c>
      <c r="AG10" s="505">
        <f t="shared" si="8"/>
        <v>6.58333333333333</v>
      </c>
      <c r="AI10" s="180">
        <f t="shared" si="9"/>
        <v>0.306495463961017</v>
      </c>
    </row>
    <row r="11" spans="2:35">
      <c r="B11" s="2" t="s">
        <v>44</v>
      </c>
      <c r="C11" s="117">
        <f>MOD!Y312</f>
        <v>946.3</v>
      </c>
      <c r="E11" s="11" t="s">
        <v>45</v>
      </c>
      <c r="K11" s="146">
        <f>$C$14/K8</f>
        <v>5.29134872899777</v>
      </c>
      <c r="L11" s="146">
        <f>$C$14/L8</f>
        <v>4.90914379192244</v>
      </c>
      <c r="M11" s="146">
        <f>$C$14/M8</f>
        <v>4.646762147006</v>
      </c>
      <c r="N11" s="146">
        <f>$C$14/N8</f>
        <v>4.41983379182688</v>
      </c>
      <c r="O11" s="146">
        <f>$C$14/O8</f>
        <v>4.22457770136059</v>
      </c>
      <c r="Q11" s="500" t="s">
        <v>46</v>
      </c>
      <c r="R11" s="500"/>
      <c r="S11" s="500"/>
      <c r="T11" s="501">
        <f>T8*0.25+T9*0.75</f>
        <v>0.881185635505184</v>
      </c>
      <c r="U11" s="136">
        <f>T11/C7-1</f>
        <v>0.297769713556972</v>
      </c>
      <c r="W11" s="499">
        <f t="shared" si="11"/>
        <v>0.78</v>
      </c>
      <c r="X11" s="332">
        <f t="shared" si="1"/>
        <v>0.129725173724595</v>
      </c>
      <c r="Y11" s="332">
        <f t="shared" si="2"/>
        <v>-0.5</v>
      </c>
      <c r="Z11" s="106">
        <f t="shared" si="3"/>
        <v>0.25945034744919</v>
      </c>
      <c r="AA11" s="332">
        <f t="shared" si="4"/>
        <v>0.148748159057437</v>
      </c>
      <c r="AC11" s="505">
        <f t="shared" si="5"/>
        <v>9.09644079119461</v>
      </c>
      <c r="AD11" s="505">
        <f t="shared" si="6"/>
        <v>9.75</v>
      </c>
      <c r="AE11" s="506"/>
      <c r="AF11" s="505">
        <f t="shared" si="7"/>
        <v>7.75186670852681</v>
      </c>
      <c r="AG11" s="505">
        <f t="shared" si="8"/>
        <v>6.5</v>
      </c>
      <c r="AI11" s="180">
        <f t="shared" si="9"/>
        <v>0.310424892986159</v>
      </c>
    </row>
    <row r="12" spans="2:35">
      <c r="B12" s="8" t="s">
        <v>47</v>
      </c>
      <c r="C12" s="96">
        <f>C10-C11</f>
        <v>5037.2</v>
      </c>
      <c r="E12" s="478" t="s">
        <v>48</v>
      </c>
      <c r="F12" s="478"/>
      <c r="G12" s="478"/>
      <c r="H12" s="478"/>
      <c r="I12" s="478"/>
      <c r="J12" s="478"/>
      <c r="K12" s="478">
        <v>1795.8</v>
      </c>
      <c r="L12" s="478">
        <v>1944.8</v>
      </c>
      <c r="M12" s="478">
        <v>2093.3</v>
      </c>
      <c r="Q12" s="500" t="s">
        <v>31</v>
      </c>
      <c r="R12" s="500"/>
      <c r="S12" s="500"/>
      <c r="T12" s="501">
        <f>T10</f>
        <v>0.39</v>
      </c>
      <c r="U12" s="136">
        <f>T12/C7-1</f>
        <v>-0.425625920471281</v>
      </c>
      <c r="W12" s="499">
        <f t="shared" si="11"/>
        <v>0.77</v>
      </c>
      <c r="X12" s="332">
        <f t="shared" si="1"/>
        <v>0.144396929227512</v>
      </c>
      <c r="Y12" s="332">
        <f t="shared" si="2"/>
        <v>-0.493506493506493</v>
      </c>
      <c r="Z12" s="106">
        <f t="shared" si="3"/>
        <v>0.292593777645221</v>
      </c>
      <c r="AA12" s="332">
        <f t="shared" si="4"/>
        <v>0.134020618556701</v>
      </c>
      <c r="AC12" s="505">
        <f t="shared" si="5"/>
        <v>8.97981975541006</v>
      </c>
      <c r="AD12" s="505">
        <f t="shared" si="6"/>
        <v>9.625</v>
      </c>
      <c r="AE12" s="506"/>
      <c r="AF12" s="505">
        <f t="shared" si="7"/>
        <v>7.65248380200723</v>
      </c>
      <c r="AG12" s="505">
        <f t="shared" si="8"/>
        <v>6.41666666666667</v>
      </c>
      <c r="AI12" s="180">
        <f t="shared" si="9"/>
        <v>0.314456385102862</v>
      </c>
    </row>
    <row r="13" ht="26" spans="5:35">
      <c r="E13" s="478" t="s">
        <v>49</v>
      </c>
      <c r="F13" s="478"/>
      <c r="G13" s="478"/>
      <c r="H13" s="478"/>
      <c r="I13" s="478"/>
      <c r="J13" s="478"/>
      <c r="K13" s="489">
        <v>4.2</v>
      </c>
      <c r="L13" s="489">
        <v>3.8</v>
      </c>
      <c r="M13" s="489">
        <v>3.4</v>
      </c>
      <c r="Q13" s="104" t="s">
        <v>50</v>
      </c>
      <c r="R13" s="104"/>
      <c r="S13" s="104"/>
      <c r="T13" s="104"/>
      <c r="W13" s="499">
        <f t="shared" si="11"/>
        <v>0.76</v>
      </c>
      <c r="X13" s="332">
        <f t="shared" si="1"/>
        <v>0.159454783559453</v>
      </c>
      <c r="Y13" s="332">
        <f t="shared" si="2"/>
        <v>-0.486842105263158</v>
      </c>
      <c r="Z13" s="106">
        <f t="shared" si="3"/>
        <v>0.327528744608606</v>
      </c>
      <c r="AA13" s="332">
        <f t="shared" si="4"/>
        <v>0.119293078055965</v>
      </c>
      <c r="AC13" s="505">
        <f t="shared" si="5"/>
        <v>8.86319871962552</v>
      </c>
      <c r="AD13" s="505">
        <f t="shared" si="6"/>
        <v>9.5</v>
      </c>
      <c r="AE13" s="506"/>
      <c r="AF13" s="505">
        <f t="shared" si="7"/>
        <v>7.55310089548766</v>
      </c>
      <c r="AG13" s="505">
        <f t="shared" si="8"/>
        <v>6.33333333333333</v>
      </c>
      <c r="AI13" s="180">
        <f t="shared" si="9"/>
        <v>0.318593969117373</v>
      </c>
    </row>
    <row r="14" spans="2:35">
      <c r="B14" s="8" t="s">
        <v>51</v>
      </c>
      <c r="C14" s="96">
        <f>C9+C12</f>
        <v>8556.549170855</v>
      </c>
      <c r="Q14" s="132" t="s">
        <v>52</v>
      </c>
      <c r="R14" s="132" t="s">
        <v>53</v>
      </c>
      <c r="S14" s="132" t="s">
        <v>54</v>
      </c>
      <c r="T14" s="132" t="s">
        <v>55</v>
      </c>
      <c r="W14" s="499">
        <f t="shared" si="11"/>
        <v>0.75</v>
      </c>
      <c r="X14" s="332">
        <f t="shared" si="1"/>
        <v>0.174914180673579</v>
      </c>
      <c r="Y14" s="332">
        <f t="shared" si="2"/>
        <v>-0.48</v>
      </c>
      <c r="Z14" s="106">
        <f t="shared" si="3"/>
        <v>0.364404543069956</v>
      </c>
      <c r="AA14" s="332">
        <f t="shared" si="4"/>
        <v>0.104565537555228</v>
      </c>
      <c r="AC14" s="505">
        <f t="shared" si="5"/>
        <v>8.74657768384097</v>
      </c>
      <c r="AD14" s="505">
        <f t="shared" si="6"/>
        <v>9.375</v>
      </c>
      <c r="AE14" s="506"/>
      <c r="AF14" s="505">
        <f t="shared" si="7"/>
        <v>7.45371798896808</v>
      </c>
      <c r="AG14" s="505">
        <f t="shared" si="8"/>
        <v>6.25</v>
      </c>
      <c r="AI14" s="180">
        <f t="shared" si="9"/>
        <v>0.322841888705605</v>
      </c>
    </row>
    <row r="15" spans="5:35">
      <c r="E15" s="8" t="s">
        <v>56</v>
      </c>
      <c r="F15" s="8"/>
      <c r="G15" s="8"/>
      <c r="H15" s="8"/>
      <c r="I15" s="8"/>
      <c r="J15" s="96">
        <f>MOD!W387</f>
        <v>601.1</v>
      </c>
      <c r="K15" s="96">
        <f>MOD!AA387</f>
        <v>745</v>
      </c>
      <c r="L15" s="96">
        <f>MOD!AB387</f>
        <v>606.98697791</v>
      </c>
      <c r="M15" s="96">
        <f>MOD!AC387</f>
        <v>666.109267352952</v>
      </c>
      <c r="N15" s="96">
        <f>MOD!AD387</f>
        <v>692.567138686548</v>
      </c>
      <c r="O15" s="96">
        <f>MOD!AE387</f>
        <v>713.383462451421</v>
      </c>
      <c r="Q15" s="437" t="s">
        <v>57</v>
      </c>
      <c r="R15" s="148">
        <f>VALUATION!D10</f>
        <v>5.21</v>
      </c>
      <c r="S15" s="148">
        <f>VALUATION!D14</f>
        <v>11.257</v>
      </c>
      <c r="T15" s="133">
        <f>VALUATION!D6</f>
        <v>8.715</v>
      </c>
      <c r="W15" s="499">
        <f t="shared" si="11"/>
        <v>0.74</v>
      </c>
      <c r="X15" s="332">
        <f t="shared" si="1"/>
        <v>0.19079139933133</v>
      </c>
      <c r="Y15" s="332">
        <f t="shared" si="2"/>
        <v>-0.472972972972973</v>
      </c>
      <c r="Z15" s="106">
        <f t="shared" si="3"/>
        <v>0.403387530014812</v>
      </c>
      <c r="AA15" s="332">
        <f t="shared" si="4"/>
        <v>0.0898379970544918</v>
      </c>
      <c r="AC15" s="505">
        <f t="shared" si="5"/>
        <v>8.62995664805642</v>
      </c>
      <c r="AD15" s="505">
        <f t="shared" si="6"/>
        <v>9.25</v>
      </c>
      <c r="AE15" s="506"/>
      <c r="AF15" s="505">
        <f t="shared" si="7"/>
        <v>7.35433508244851</v>
      </c>
      <c r="AG15" s="505">
        <f t="shared" si="8"/>
        <v>6.16666666666667</v>
      </c>
      <c r="AI15" s="180">
        <f t="shared" si="9"/>
        <v>0.327204616931356</v>
      </c>
    </row>
    <row r="16" spans="2:35">
      <c r="B16" s="2" t="s">
        <v>58</v>
      </c>
      <c r="C16" s="479">
        <f>W39</f>
        <v>0.5</v>
      </c>
      <c r="E16" s="2" t="s">
        <v>18</v>
      </c>
      <c r="J16" s="16">
        <v>0.057</v>
      </c>
      <c r="K16" s="16">
        <f>K15/J15-1</f>
        <v>0.239394443520213</v>
      </c>
      <c r="L16" s="16">
        <f t="shared" ref="L16:O16" si="13">L15/K15-1</f>
        <v>-0.185252378644295</v>
      </c>
      <c r="M16" s="16">
        <f t="shared" si="13"/>
        <v>0.0974028959344797</v>
      </c>
      <c r="N16" s="16">
        <f t="shared" si="13"/>
        <v>0.0397200168656062</v>
      </c>
      <c r="O16" s="16">
        <f t="shared" si="13"/>
        <v>0.0300567592686405</v>
      </c>
      <c r="Q16" s="437" t="s">
        <v>59</v>
      </c>
      <c r="R16" s="148">
        <f>VALUATION!D11</f>
        <v>5.21</v>
      </c>
      <c r="S16" s="148">
        <f>VALUATION!D15</f>
        <v>14.347</v>
      </c>
      <c r="T16" s="133">
        <f>VALUATION!D7</f>
        <v>9.505</v>
      </c>
      <c r="W16" s="499">
        <f t="shared" si="11"/>
        <v>0.73</v>
      </c>
      <c r="X16" s="332">
        <f t="shared" si="1"/>
        <v>0.207103610281074</v>
      </c>
      <c r="Y16" s="332">
        <f t="shared" si="2"/>
        <v>-0.465753424657534</v>
      </c>
      <c r="Z16" s="106">
        <f t="shared" si="3"/>
        <v>0.444663633838777</v>
      </c>
      <c r="AA16" s="332">
        <f t="shared" si="4"/>
        <v>0.0751104565537555</v>
      </c>
      <c r="AC16" s="505">
        <f t="shared" si="5"/>
        <v>8.51333561227188</v>
      </c>
      <c r="AD16" s="505">
        <f t="shared" si="6"/>
        <v>9.125</v>
      </c>
      <c r="AE16" s="506"/>
      <c r="AF16" s="505">
        <f t="shared" si="7"/>
        <v>7.25495217592893</v>
      </c>
      <c r="AG16" s="505">
        <f t="shared" si="8"/>
        <v>6.08333333333333</v>
      </c>
      <c r="AI16" s="180">
        <f t="shared" si="9"/>
        <v>0.331686871957813</v>
      </c>
    </row>
    <row r="17" spans="2:35">
      <c r="B17" s="2" t="s">
        <v>60</v>
      </c>
      <c r="C17" s="479">
        <f>W49</f>
        <v>0.4</v>
      </c>
      <c r="E17" s="8" t="s">
        <v>61</v>
      </c>
      <c r="F17" s="8"/>
      <c r="G17" s="8"/>
      <c r="H17" s="8"/>
      <c r="I17" s="8"/>
      <c r="J17" s="98">
        <f>J15/$C$8</f>
        <v>0.115972266514505</v>
      </c>
      <c r="K17" s="98">
        <f t="shared" ref="K17:O17" si="14">K15/$C$8</f>
        <v>0.143735382720523</v>
      </c>
      <c r="L17" s="98">
        <f t="shared" si="14"/>
        <v>0.117108061176198</v>
      </c>
      <c r="M17" s="98">
        <f t="shared" si="14"/>
        <v>0.128514725472032</v>
      </c>
      <c r="N17" s="98">
        <f t="shared" si="14"/>
        <v>0.13361933253526</v>
      </c>
      <c r="O17" s="98">
        <f t="shared" si="14"/>
        <v>0.137635496646909</v>
      </c>
      <c r="Q17" s="437" t="s">
        <v>62</v>
      </c>
      <c r="R17" s="148">
        <f>VALUATION!D12</f>
        <v>5.21</v>
      </c>
      <c r="S17" s="148">
        <f>VALUATION!D16</f>
        <v>36.726</v>
      </c>
      <c r="T17" s="133">
        <f>VALUATION!D8</f>
        <v>11.195</v>
      </c>
      <c r="W17" s="499">
        <f t="shared" si="11"/>
        <v>0.72</v>
      </c>
      <c r="X17" s="332">
        <f t="shared" si="1"/>
        <v>0.223868938201645</v>
      </c>
      <c r="Y17" s="332">
        <f t="shared" si="2"/>
        <v>-0.458333333333333</v>
      </c>
      <c r="Z17" s="106">
        <f t="shared" si="3"/>
        <v>0.48844131971268</v>
      </c>
      <c r="AA17" s="332">
        <f t="shared" si="4"/>
        <v>0.0603829160530189</v>
      </c>
      <c r="AC17" s="505">
        <f t="shared" si="5"/>
        <v>8.39671457648733</v>
      </c>
      <c r="AD17" s="505">
        <f t="shared" si="6"/>
        <v>9</v>
      </c>
      <c r="AE17" s="506"/>
      <c r="AF17" s="505">
        <f t="shared" si="7"/>
        <v>7.15556926940936</v>
      </c>
      <c r="AG17" s="505">
        <f t="shared" si="8"/>
        <v>6</v>
      </c>
      <c r="AI17" s="180">
        <f t="shared" si="9"/>
        <v>0.336293634068339</v>
      </c>
    </row>
    <row r="18" spans="17:35">
      <c r="Q18" s="502" t="s">
        <v>63</v>
      </c>
      <c r="R18" s="502" t="s">
        <v>53</v>
      </c>
      <c r="S18" s="502" t="s">
        <v>54</v>
      </c>
      <c r="T18" s="502" t="s">
        <v>55</v>
      </c>
      <c r="W18" s="499">
        <f t="shared" si="11"/>
        <v>0.71</v>
      </c>
      <c r="X18" s="332">
        <f t="shared" si="1"/>
        <v>0.241106528880541</v>
      </c>
      <c r="Y18" s="332">
        <f t="shared" si="2"/>
        <v>-0.450704225352113</v>
      </c>
      <c r="Z18" s="106">
        <f t="shared" si="3"/>
        <v>0.534955110953701</v>
      </c>
      <c r="AA18" s="332">
        <f t="shared" si="4"/>
        <v>0.0456553755522826</v>
      </c>
      <c r="AC18" s="505">
        <f t="shared" si="5"/>
        <v>8.28009354070278</v>
      </c>
      <c r="AD18" s="505">
        <f t="shared" si="6"/>
        <v>8.875</v>
      </c>
      <c r="AE18" s="506"/>
      <c r="AF18" s="505">
        <f t="shared" si="7"/>
        <v>7.05618636288978</v>
      </c>
      <c r="AG18" s="505">
        <f t="shared" si="8"/>
        <v>5.91666666666667</v>
      </c>
      <c r="AI18" s="180">
        <f t="shared" si="9"/>
        <v>0.341030164125639</v>
      </c>
    </row>
    <row r="19" spans="2:35">
      <c r="B19" s="2" t="s">
        <v>64</v>
      </c>
      <c r="C19" s="117">
        <v>1255</v>
      </c>
      <c r="E19" s="480" t="s">
        <v>65</v>
      </c>
      <c r="F19" s="479">
        <f>MOD!J242</f>
        <v>0.252868490424227</v>
      </c>
      <c r="G19" s="479">
        <f>MOD!K242</f>
        <v>0.0460937849672118</v>
      </c>
      <c r="H19" s="479">
        <f>MOD!O242</f>
        <v>0.0716731816060417</v>
      </c>
      <c r="I19" s="479">
        <f>MOD!S242</f>
        <v>0.0365028743812353</v>
      </c>
      <c r="J19" s="479">
        <f>MOD!W242</f>
        <v>0.103952515717876</v>
      </c>
      <c r="K19" s="479">
        <f>MOD!AA242</f>
        <v>0.0857478235613915</v>
      </c>
      <c r="L19" s="479">
        <f>MOD!AB242</f>
        <v>0.100620925169163</v>
      </c>
      <c r="M19" s="479">
        <f>MOD!AC242</f>
        <v>0.106891205953686</v>
      </c>
      <c r="N19" s="479">
        <f>MOD!AD242</f>
        <v>0.112659671953087</v>
      </c>
      <c r="O19" s="479">
        <f>MOD!AE242</f>
        <v>0.117772101773327</v>
      </c>
      <c r="Q19" s="437" t="s">
        <v>57</v>
      </c>
      <c r="R19" s="148">
        <f>VALUATION!T10</f>
        <v>-9.567</v>
      </c>
      <c r="S19" s="148">
        <f>VALUATION!T14</f>
        <v>-5.344</v>
      </c>
      <c r="T19" s="133">
        <f>VALUATION!T6</f>
        <v>-6.9765</v>
      </c>
      <c r="W19" s="499">
        <f t="shared" si="11"/>
        <v>0.7</v>
      </c>
      <c r="X19" s="332">
        <f t="shared" si="1"/>
        <v>0.258836622150263</v>
      </c>
      <c r="Y19" s="332">
        <f t="shared" si="2"/>
        <v>-0.442857142857143</v>
      </c>
      <c r="Z19" s="106">
        <f t="shared" si="3"/>
        <v>0.584469791952207</v>
      </c>
      <c r="AA19" s="332">
        <f t="shared" si="4"/>
        <v>0.0309278350515463</v>
      </c>
      <c r="AC19" s="505">
        <f t="shared" si="5"/>
        <v>8.16347250491824</v>
      </c>
      <c r="AD19" s="505">
        <f t="shared" si="6"/>
        <v>8.75</v>
      </c>
      <c r="AE19" s="506"/>
      <c r="AF19" s="505">
        <f t="shared" si="7"/>
        <v>6.95680345637021</v>
      </c>
      <c r="AG19" s="505">
        <f t="shared" si="8"/>
        <v>5.83333333333333</v>
      </c>
      <c r="AI19" s="180">
        <f t="shared" si="9"/>
        <v>0.345902023613148</v>
      </c>
    </row>
    <row r="20" spans="2:35">
      <c r="B20" s="2" t="s">
        <v>66</v>
      </c>
      <c r="C20" s="99">
        <f>C19/C8</f>
        <v>0.242131416529204</v>
      </c>
      <c r="E20" s="1" t="s">
        <v>18</v>
      </c>
      <c r="F20" s="112">
        <v>-0.06</v>
      </c>
      <c r="G20" s="112">
        <f t="shared" ref="G20:O20" si="15">G19/F19-1</f>
        <v>-0.817716375457131</v>
      </c>
      <c r="H20" s="112">
        <f t="shared" si="15"/>
        <v>0.55494242134868</v>
      </c>
      <c r="I20" s="112">
        <f t="shared" si="15"/>
        <v>-0.49070386491454</v>
      </c>
      <c r="J20" s="112">
        <f t="shared" si="15"/>
        <v>1.84778986531851</v>
      </c>
      <c r="K20" s="112">
        <f t="shared" si="15"/>
        <v>-0.175125075432439</v>
      </c>
      <c r="L20" s="112">
        <f t="shared" si="15"/>
        <v>0.173451651482709</v>
      </c>
      <c r="M20" s="112">
        <f t="shared" si="15"/>
        <v>0.062315872905975</v>
      </c>
      <c r="N20" s="112">
        <f t="shared" si="15"/>
        <v>0.0539657677910417</v>
      </c>
      <c r="O20" s="112">
        <f t="shared" si="15"/>
        <v>0.0453794133393979</v>
      </c>
      <c r="Q20" s="437" t="s">
        <v>59</v>
      </c>
      <c r="R20" s="148">
        <f>VALUATION!T11</f>
        <v>-9.567</v>
      </c>
      <c r="S20" s="148">
        <f>VALUATION!T15</f>
        <v>-3.412</v>
      </c>
      <c r="T20" s="133">
        <f>VALUATION!T7</f>
        <v>-5.9785</v>
      </c>
      <c r="W20" s="499">
        <f t="shared" si="11"/>
        <v>0.69</v>
      </c>
      <c r="X20" s="332">
        <f t="shared" si="1"/>
        <v>0.277080631166934</v>
      </c>
      <c r="Y20" s="332">
        <f t="shared" si="2"/>
        <v>-0.434782608695652</v>
      </c>
      <c r="Z20" s="106">
        <f t="shared" si="3"/>
        <v>0.637285451683947</v>
      </c>
      <c r="AA20" s="332">
        <f t="shared" si="4"/>
        <v>0.01620029455081</v>
      </c>
      <c r="AC20" s="505">
        <f t="shared" si="5"/>
        <v>8.04685146913369</v>
      </c>
      <c r="AD20" s="505">
        <f t="shared" si="6"/>
        <v>8.625</v>
      </c>
      <c r="AE20" s="506"/>
      <c r="AF20" s="505">
        <f t="shared" si="7"/>
        <v>6.85742054985064</v>
      </c>
      <c r="AG20" s="505">
        <f t="shared" si="8"/>
        <v>5.75</v>
      </c>
      <c r="AI20" s="180">
        <f t="shared" si="9"/>
        <v>0.350915096419136</v>
      </c>
    </row>
    <row r="21" spans="2:35">
      <c r="B21" s="480" t="s">
        <v>67</v>
      </c>
      <c r="C21" s="481">
        <f>C20/C7</f>
        <v>0.356600024343452</v>
      </c>
      <c r="E21" s="478" t="s">
        <v>68</v>
      </c>
      <c r="F21" s="478"/>
      <c r="G21" s="478"/>
      <c r="H21" s="478"/>
      <c r="I21" s="478"/>
      <c r="J21" s="478"/>
      <c r="K21" s="490">
        <v>0.08</v>
      </c>
      <c r="L21" s="490">
        <v>0.12</v>
      </c>
      <c r="M21" s="490">
        <v>0.14</v>
      </c>
      <c r="N21" s="99"/>
      <c r="Q21" s="437" t="s">
        <v>62</v>
      </c>
      <c r="R21" s="148">
        <f>VALUATION!T12</f>
        <v>-9.567</v>
      </c>
      <c r="S21" s="148">
        <f>VALUATION!T16</f>
        <v>7.236</v>
      </c>
      <c r="T21" s="133">
        <f>VALUATION!T8</f>
        <v>-5.0175</v>
      </c>
      <c r="W21" s="499">
        <f t="shared" si="11"/>
        <v>0.68</v>
      </c>
      <c r="X21" s="332">
        <f t="shared" si="1"/>
        <v>0.295861228684094</v>
      </c>
      <c r="Y21" s="332">
        <f t="shared" si="2"/>
        <v>-0.426470588235294</v>
      </c>
      <c r="Z21" s="106">
        <f t="shared" si="3"/>
        <v>0.693743570707532</v>
      </c>
      <c r="AA21" s="332">
        <f t="shared" si="4"/>
        <v>0.00147275405007341</v>
      </c>
      <c r="AC21" s="505">
        <f t="shared" si="5"/>
        <v>7.93023043334915</v>
      </c>
      <c r="AD21" s="505">
        <f t="shared" si="6"/>
        <v>8.5</v>
      </c>
      <c r="AE21" s="506"/>
      <c r="AF21" s="505">
        <f t="shared" si="7"/>
        <v>6.75803764333106</v>
      </c>
      <c r="AG21" s="505">
        <f t="shared" si="8"/>
        <v>5.66666666666667</v>
      </c>
      <c r="AI21" s="180">
        <f t="shared" si="9"/>
        <v>0.356075612542947</v>
      </c>
    </row>
    <row r="22" spans="5:35">
      <c r="E22" s="2" t="s">
        <v>18</v>
      </c>
      <c r="K22" s="16">
        <f>K21/J19-1</f>
        <v>-0.230417855233853</v>
      </c>
      <c r="L22" s="16">
        <f>L21/K19-1</f>
        <v>0.399452429414555</v>
      </c>
      <c r="M22" s="16">
        <f>M21/L19-1</f>
        <v>0.391360691274042</v>
      </c>
      <c r="Q22" s="127" t="s">
        <v>69</v>
      </c>
      <c r="R22" s="127"/>
      <c r="S22" s="127"/>
      <c r="T22" s="396">
        <f>VALUATION!M21</f>
        <v>14.749</v>
      </c>
      <c r="W22" s="499">
        <f t="shared" si="11"/>
        <v>0.67</v>
      </c>
      <c r="X22" s="332">
        <f t="shared" si="1"/>
        <v>0.315202441052514</v>
      </c>
      <c r="Y22" s="332">
        <f t="shared" si="2"/>
        <v>-0.417910447761194</v>
      </c>
      <c r="Z22" s="106">
        <f t="shared" si="3"/>
        <v>0.754234412518515</v>
      </c>
      <c r="AA22" s="332">
        <f t="shared" si="4"/>
        <v>-0.0132547864506629</v>
      </c>
      <c r="AC22" s="505">
        <f t="shared" si="5"/>
        <v>7.8136093975646</v>
      </c>
      <c r="AD22" s="505">
        <f t="shared" si="6"/>
        <v>8.375</v>
      </c>
      <c r="AE22" s="506"/>
      <c r="AF22" s="505">
        <f t="shared" si="7"/>
        <v>6.65865473681149</v>
      </c>
      <c r="AG22" s="505">
        <f t="shared" si="8"/>
        <v>5.58333333333333</v>
      </c>
      <c r="AI22" s="180">
        <f t="shared" si="9"/>
        <v>0.361390173924185</v>
      </c>
    </row>
    <row r="23" ht="26" spans="2:35">
      <c r="B23" s="104" t="s">
        <v>70</v>
      </c>
      <c r="C23" s="104"/>
      <c r="E23" s="482" t="s">
        <v>71</v>
      </c>
      <c r="F23" s="483"/>
      <c r="G23" s="483"/>
      <c r="H23" s="483"/>
      <c r="I23" s="483"/>
      <c r="J23" s="483"/>
      <c r="K23" s="491">
        <f>K19/K21-1</f>
        <v>0.0718477945173939</v>
      </c>
      <c r="L23" s="491">
        <f>L19/L21-1</f>
        <v>-0.161492290256977</v>
      </c>
      <c r="M23" s="491">
        <f>M19/M21-1</f>
        <v>-0.2364913860451</v>
      </c>
      <c r="Q23" s="502" t="s">
        <v>72</v>
      </c>
      <c r="R23" s="502" t="s">
        <v>53</v>
      </c>
      <c r="S23" s="502" t="s">
        <v>54</v>
      </c>
      <c r="T23" s="502" t="s">
        <v>55</v>
      </c>
      <c r="W23" s="499">
        <f t="shared" si="11"/>
        <v>0.66</v>
      </c>
      <c r="X23" s="332">
        <f t="shared" si="1"/>
        <v>0.335129750765431</v>
      </c>
      <c r="Y23" s="332">
        <f t="shared" si="2"/>
        <v>-0.409090909090909</v>
      </c>
      <c r="Z23" s="106">
        <f t="shared" si="3"/>
        <v>0.819206057426609</v>
      </c>
      <c r="AA23" s="332">
        <f t="shared" si="4"/>
        <v>-0.0279823269513994</v>
      </c>
      <c r="AC23" s="505">
        <f t="shared" si="5"/>
        <v>7.69698836178005</v>
      </c>
      <c r="AD23" s="505">
        <f t="shared" si="6"/>
        <v>8.25</v>
      </c>
      <c r="AE23" s="506"/>
      <c r="AF23" s="505">
        <f t="shared" si="7"/>
        <v>6.55927183029191</v>
      </c>
      <c r="AG23" s="505">
        <f t="shared" si="8"/>
        <v>5.5</v>
      </c>
      <c r="AI23" s="180">
        <f t="shared" si="9"/>
        <v>0.366865782620006</v>
      </c>
    </row>
    <row r="24" spans="2:35">
      <c r="B24" s="2" t="s">
        <v>73</v>
      </c>
      <c r="C24" s="99">
        <f>N19</f>
        <v>0.112659671953087</v>
      </c>
      <c r="Q24" s="437" t="s">
        <v>57</v>
      </c>
      <c r="R24" s="148">
        <f t="shared" ref="R24:T26" si="16">$T$22+R19</f>
        <v>5.182</v>
      </c>
      <c r="S24" s="148">
        <f t="shared" si="16"/>
        <v>9.405</v>
      </c>
      <c r="T24" s="133">
        <f t="shared" si="16"/>
        <v>7.7725</v>
      </c>
      <c r="W24" s="499">
        <f t="shared" si="11"/>
        <v>0.65</v>
      </c>
      <c r="X24" s="332">
        <f t="shared" si="1"/>
        <v>0.355670208469514</v>
      </c>
      <c r="Y24" s="332">
        <f t="shared" si="2"/>
        <v>-0.4</v>
      </c>
      <c r="Z24" s="106">
        <f t="shared" si="3"/>
        <v>0.889175521173786</v>
      </c>
      <c r="AA24" s="332">
        <f t="shared" si="4"/>
        <v>-0.0427098674521357</v>
      </c>
      <c r="AC24" s="505">
        <f t="shared" si="5"/>
        <v>7.58036732599551</v>
      </c>
      <c r="AD24" s="505">
        <f t="shared" si="6"/>
        <v>8.125</v>
      </c>
      <c r="AE24" s="506"/>
      <c r="AF24" s="505">
        <f t="shared" si="7"/>
        <v>6.45988892377234</v>
      </c>
      <c r="AG24" s="505">
        <f t="shared" si="8"/>
        <v>5.41666666666667</v>
      </c>
      <c r="AI24" s="180">
        <f t="shared" si="9"/>
        <v>0.372509871583391</v>
      </c>
    </row>
    <row r="25" ht="23.5" spans="2:35">
      <c r="B25" s="2" t="s">
        <v>74</v>
      </c>
      <c r="C25" s="146">
        <v>13.3</v>
      </c>
      <c r="F25" s="94" t="s">
        <v>6</v>
      </c>
      <c r="G25" s="94" t="s">
        <v>7</v>
      </c>
      <c r="H25" s="94" t="s">
        <v>8</v>
      </c>
      <c r="I25" s="94" t="s">
        <v>9</v>
      </c>
      <c r="J25" s="94" t="s">
        <v>10</v>
      </c>
      <c r="K25" s="94" t="s">
        <v>11</v>
      </c>
      <c r="L25" s="94" t="s">
        <v>12</v>
      </c>
      <c r="M25" s="94" t="s">
        <v>13</v>
      </c>
      <c r="N25" s="94" t="s">
        <v>14</v>
      </c>
      <c r="O25" s="94" t="s">
        <v>15</v>
      </c>
      <c r="Q25" s="437" t="s">
        <v>59</v>
      </c>
      <c r="R25" s="148">
        <f t="shared" si="16"/>
        <v>5.182</v>
      </c>
      <c r="S25" s="148">
        <f t="shared" si="16"/>
        <v>11.337</v>
      </c>
      <c r="T25" s="133">
        <f t="shared" si="16"/>
        <v>8.7705</v>
      </c>
      <c r="W25" s="499">
        <f t="shared" si="11"/>
        <v>0.64</v>
      </c>
      <c r="X25" s="332">
        <f t="shared" si="1"/>
        <v>0.37685255547685</v>
      </c>
      <c r="Y25" s="332">
        <f t="shared" si="2"/>
        <v>-0.390625</v>
      </c>
      <c r="Z25" s="106">
        <f t="shared" si="3"/>
        <v>0.964742542020738</v>
      </c>
      <c r="AA25" s="332">
        <f t="shared" si="4"/>
        <v>-0.0574374079528721</v>
      </c>
      <c r="AC25" s="505">
        <f t="shared" si="5"/>
        <v>7.46374629021096</v>
      </c>
      <c r="AD25" s="505">
        <f t="shared" si="6"/>
        <v>8</v>
      </c>
      <c r="AE25" s="506"/>
      <c r="AF25" s="505">
        <f t="shared" si="7"/>
        <v>6.36050601725276</v>
      </c>
      <c r="AG25" s="505">
        <f t="shared" si="8"/>
        <v>5.33333333333333</v>
      </c>
      <c r="AI25" s="180">
        <f t="shared" si="9"/>
        <v>0.378330338326881</v>
      </c>
    </row>
    <row r="26" spans="2:35">
      <c r="B26" s="2" t="s">
        <v>70</v>
      </c>
      <c r="C26" s="99">
        <f>C24*C25</f>
        <v>1.49837363697606</v>
      </c>
      <c r="E26" s="8" t="s">
        <v>75</v>
      </c>
      <c r="F26" s="146">
        <f t="shared" ref="F26:O26" si="17">$C$14/F5</f>
        <v>1.40023387622815</v>
      </c>
      <c r="G26" s="146">
        <f t="shared" si="17"/>
        <v>1.38740602384431</v>
      </c>
      <c r="H26" s="146">
        <f t="shared" si="17"/>
        <v>0.999246662484526</v>
      </c>
      <c r="I26" s="146">
        <f t="shared" si="17"/>
        <v>0.845091276133827</v>
      </c>
      <c r="J26" s="146">
        <f t="shared" si="17"/>
        <v>0.811662793668659</v>
      </c>
      <c r="K26" s="492">
        <f t="shared" si="17"/>
        <v>0.723167486359533</v>
      </c>
      <c r="L26" s="492">
        <f t="shared" si="17"/>
        <v>0.672536656138215</v>
      </c>
      <c r="M26" s="492">
        <f t="shared" si="17"/>
        <v>0.638988407630697</v>
      </c>
      <c r="N26" s="492">
        <f t="shared" si="17"/>
        <v>0.611219931109681</v>
      </c>
      <c r="O26" s="492">
        <f t="shared" si="17"/>
        <v>0.588906417369266</v>
      </c>
      <c r="Q26" s="437" t="s">
        <v>62</v>
      </c>
      <c r="R26" s="148">
        <f t="shared" si="16"/>
        <v>5.182</v>
      </c>
      <c r="S26" s="148">
        <f t="shared" si="16"/>
        <v>21.985</v>
      </c>
      <c r="T26" s="133">
        <f t="shared" si="16"/>
        <v>9.7315</v>
      </c>
      <c r="W26" s="499">
        <f t="shared" si="11"/>
        <v>0.63</v>
      </c>
      <c r="X26" s="332">
        <f t="shared" si="1"/>
        <v>0.398707357944737</v>
      </c>
      <c r="Y26" s="332">
        <f t="shared" si="2"/>
        <v>-0.380952380952381</v>
      </c>
      <c r="Z26" s="106">
        <f t="shared" si="3"/>
        <v>1.04660681460493</v>
      </c>
      <c r="AA26" s="332">
        <f t="shared" si="4"/>
        <v>-0.0721649484536084</v>
      </c>
      <c r="AC26" s="505">
        <f t="shared" si="5"/>
        <v>7.34712525442641</v>
      </c>
      <c r="AD26" s="505">
        <f t="shared" si="6"/>
        <v>7.875</v>
      </c>
      <c r="AE26" s="506"/>
      <c r="AF26" s="505">
        <f t="shared" si="7"/>
        <v>6.26112311073319</v>
      </c>
      <c r="AG26" s="505">
        <f t="shared" si="8"/>
        <v>5.25</v>
      </c>
      <c r="AI26" s="180">
        <f t="shared" si="9"/>
        <v>0.384335581792387</v>
      </c>
    </row>
    <row r="27" ht="26" spans="2:35">
      <c r="B27" s="484" t="s">
        <v>28</v>
      </c>
      <c r="C27" s="485">
        <f>C26/$C$7-1</f>
        <v>1.20673584238005</v>
      </c>
      <c r="E27" s="8" t="s">
        <v>76</v>
      </c>
      <c r="F27" s="146">
        <f t="shared" ref="F27:O27" si="18">$C$14/F8</f>
        <v>9.76106453439995</v>
      </c>
      <c r="G27" s="146">
        <f t="shared" si="18"/>
        <v>9.67716486185817</v>
      </c>
      <c r="H27" s="146">
        <f t="shared" si="18"/>
        <v>6.57639625767043</v>
      </c>
      <c r="I27" s="146">
        <f t="shared" si="18"/>
        <v>5.94535100809825</v>
      </c>
      <c r="J27" s="146">
        <f t="shared" si="18"/>
        <v>4.66246140521741</v>
      </c>
      <c r="K27" s="492">
        <f t="shared" si="18"/>
        <v>5.29134872899777</v>
      </c>
      <c r="L27" s="492">
        <f t="shared" si="18"/>
        <v>4.90914379192244</v>
      </c>
      <c r="M27" s="492">
        <f t="shared" si="18"/>
        <v>4.646762147006</v>
      </c>
      <c r="N27" s="492">
        <f t="shared" si="18"/>
        <v>4.41983379182688</v>
      </c>
      <c r="O27" s="492">
        <f t="shared" si="18"/>
        <v>4.22457770136059</v>
      </c>
      <c r="Q27" s="104" t="s">
        <v>77</v>
      </c>
      <c r="R27" s="104"/>
      <c r="S27" s="104"/>
      <c r="T27" s="104"/>
      <c r="W27" s="499">
        <f t="shared" si="11"/>
        <v>0.62</v>
      </c>
      <c r="X27" s="332">
        <f t="shared" si="1"/>
        <v>0.42126715404062</v>
      </c>
      <c r="Y27" s="332">
        <f t="shared" si="2"/>
        <v>-0.370967741935484</v>
      </c>
      <c r="Z27" s="106">
        <f t="shared" si="3"/>
        <v>1.13558971958776</v>
      </c>
      <c r="AA27" s="332">
        <f t="shared" si="4"/>
        <v>-0.0868924889543449</v>
      </c>
      <c r="AC27" s="505">
        <f t="shared" si="5"/>
        <v>7.23050421864187</v>
      </c>
      <c r="AD27" s="505">
        <f t="shared" si="6"/>
        <v>7.75</v>
      </c>
      <c r="AE27" s="506"/>
      <c r="AF27" s="505">
        <f t="shared" si="7"/>
        <v>6.16174020421361</v>
      </c>
      <c r="AG27" s="505">
        <f t="shared" si="8"/>
        <v>5.16666666666667</v>
      </c>
      <c r="AI27" s="180">
        <f t="shared" si="9"/>
        <v>0.390534542789038</v>
      </c>
    </row>
    <row r="28" spans="2:35">
      <c r="B28" s="484" t="s">
        <v>78</v>
      </c>
      <c r="C28" s="486">
        <f>C26/$C$7</f>
        <v>2.20673584238005</v>
      </c>
      <c r="E28" s="8" t="s">
        <v>26</v>
      </c>
      <c r="F28" s="146">
        <f t="shared" ref="F28:O28" si="19">$C$7/F19</f>
        <v>2.68519023015035</v>
      </c>
      <c r="G28" s="146">
        <f t="shared" si="19"/>
        <v>14.7308362826572</v>
      </c>
      <c r="H28" s="146">
        <f t="shared" si="19"/>
        <v>9.47355740020287</v>
      </c>
      <c r="I28" s="146">
        <f t="shared" si="19"/>
        <v>18.6012748724535</v>
      </c>
      <c r="J28" s="146">
        <f t="shared" si="19"/>
        <v>6.53182845370267</v>
      </c>
      <c r="K28" s="492">
        <f t="shared" si="19"/>
        <v>7.91856832977069</v>
      </c>
      <c r="L28" s="492">
        <f t="shared" si="19"/>
        <v>6.7480993526791</v>
      </c>
      <c r="M28" s="492">
        <f t="shared" si="19"/>
        <v>6.35225315255774</v>
      </c>
      <c r="N28" s="492">
        <f t="shared" si="19"/>
        <v>6.02700139480918</v>
      </c>
      <c r="O28" s="492">
        <f t="shared" si="19"/>
        <v>5.76537218726769</v>
      </c>
      <c r="Q28" s="502" t="s">
        <v>79</v>
      </c>
      <c r="R28" s="502" t="s">
        <v>80</v>
      </c>
      <c r="S28" s="502" t="s">
        <v>81</v>
      </c>
      <c r="T28" s="502" t="s">
        <v>82</v>
      </c>
      <c r="W28" s="499">
        <f t="shared" si="11"/>
        <v>0.61</v>
      </c>
      <c r="X28" s="332">
        <f t="shared" si="1"/>
        <v>0.444566615582269</v>
      </c>
      <c r="Y28" s="332">
        <f t="shared" si="2"/>
        <v>-0.360655737704918</v>
      </c>
      <c r="Z28" s="106">
        <f t="shared" si="3"/>
        <v>1.23266197956902</v>
      </c>
      <c r="AA28" s="332">
        <f t="shared" si="4"/>
        <v>-0.101620029455081</v>
      </c>
      <c r="AC28" s="505">
        <f t="shared" si="5"/>
        <v>7.11388318285732</v>
      </c>
      <c r="AD28" s="505">
        <f t="shared" si="6"/>
        <v>7.625</v>
      </c>
      <c r="AE28" s="506"/>
      <c r="AF28" s="505">
        <f t="shared" si="7"/>
        <v>6.06235729769404</v>
      </c>
      <c r="AG28" s="505">
        <f t="shared" si="8"/>
        <v>5.08333333333333</v>
      </c>
      <c r="AI28" s="180">
        <f t="shared" si="9"/>
        <v>0.396936748408531</v>
      </c>
    </row>
    <row r="29" spans="2:35">
      <c r="B29" s="484" t="s">
        <v>83</v>
      </c>
      <c r="C29" s="485">
        <f>+RATE(3,0,-$C$7,C26,0,0)</f>
        <v>0.301917454921376</v>
      </c>
      <c r="E29" s="8" t="s">
        <v>84</v>
      </c>
      <c r="F29" s="146">
        <f>F28</f>
        <v>2.68519023015035</v>
      </c>
      <c r="G29" s="146">
        <f t="shared" ref="G29:J29" si="20">G28</f>
        <v>14.7308362826572</v>
      </c>
      <c r="H29" s="146">
        <f t="shared" si="20"/>
        <v>9.47355740020287</v>
      </c>
      <c r="I29" s="146">
        <f t="shared" si="20"/>
        <v>18.6012748724535</v>
      </c>
      <c r="J29" s="146">
        <f t="shared" si="20"/>
        <v>6.53182845370267</v>
      </c>
      <c r="K29" s="492">
        <f>$C$7/K21</f>
        <v>8.4875</v>
      </c>
      <c r="L29" s="492">
        <f>$C$7/L21</f>
        <v>5.65833333333333</v>
      </c>
      <c r="M29" s="492">
        <f>$C$7/M21</f>
        <v>4.85</v>
      </c>
      <c r="N29" s="493" t="s">
        <v>85</v>
      </c>
      <c r="O29" s="493" t="s">
        <v>85</v>
      </c>
      <c r="Q29" s="133">
        <v>8.5</v>
      </c>
      <c r="R29" s="133">
        <f>T25</f>
        <v>8.7705</v>
      </c>
      <c r="S29" s="133">
        <f>T26</f>
        <v>9.7315</v>
      </c>
      <c r="T29" s="133">
        <f>T24</f>
        <v>7.7725</v>
      </c>
      <c r="W29" s="499">
        <f t="shared" si="11"/>
        <v>0.6</v>
      </c>
      <c r="X29" s="332">
        <f t="shared" si="1"/>
        <v>0.468642725841974</v>
      </c>
      <c r="Y29" s="332">
        <f t="shared" si="2"/>
        <v>-0.35</v>
      </c>
      <c r="Z29" s="106">
        <f t="shared" si="3"/>
        <v>1.33897921669135</v>
      </c>
      <c r="AA29" s="332">
        <f t="shared" si="4"/>
        <v>-0.116347569955818</v>
      </c>
      <c r="AC29" s="505">
        <f t="shared" si="5"/>
        <v>6.99726214707277</v>
      </c>
      <c r="AD29" s="505">
        <f t="shared" si="6"/>
        <v>7.5</v>
      </c>
      <c r="AE29" s="506"/>
      <c r="AF29" s="505">
        <f t="shared" si="7"/>
        <v>5.96297439117446</v>
      </c>
      <c r="AG29" s="505">
        <f t="shared" si="8"/>
        <v>5</v>
      </c>
      <c r="AI29" s="180">
        <f t="shared" si="9"/>
        <v>0.403552360882006</v>
      </c>
    </row>
    <row r="30" spans="17:35">
      <c r="Q30" s="494" t="s">
        <v>33</v>
      </c>
      <c r="R30" s="180">
        <f>R29/Q29-1</f>
        <v>0.0318235294117648</v>
      </c>
      <c r="S30" s="180">
        <f>S29/R29-1</f>
        <v>0.109571860213215</v>
      </c>
      <c r="T30" s="180">
        <f>T29/S29-1</f>
        <v>-0.201305040332939</v>
      </c>
      <c r="W30" s="499">
        <f t="shared" si="11"/>
        <v>0.59</v>
      </c>
      <c r="X30" s="332">
        <f t="shared" si="1"/>
        <v>0.493534975432516</v>
      </c>
      <c r="Y30" s="332">
        <f t="shared" si="2"/>
        <v>-0.338983050847457</v>
      </c>
      <c r="Z30" s="106">
        <f t="shared" si="3"/>
        <v>1.45592817752592</v>
      </c>
      <c r="AA30" s="332">
        <f t="shared" si="4"/>
        <v>-0.131075110456554</v>
      </c>
      <c r="AC30" s="505">
        <f t="shared" si="5"/>
        <v>6.88064111128823</v>
      </c>
      <c r="AD30" s="505">
        <f t="shared" si="6"/>
        <v>7.375</v>
      </c>
      <c r="AE30" s="506"/>
      <c r="AF30" s="505">
        <f t="shared" si="7"/>
        <v>5.86359148465489</v>
      </c>
      <c r="AG30" s="505">
        <f t="shared" si="8"/>
        <v>4.91666666666667</v>
      </c>
      <c r="AI30" s="180">
        <f t="shared" si="9"/>
        <v>0.41039223140543</v>
      </c>
    </row>
    <row r="31" spans="23:35">
      <c r="W31" s="499">
        <f t="shared" si="11"/>
        <v>0.58</v>
      </c>
      <c r="X31" s="332">
        <f t="shared" si="1"/>
        <v>0.519285578457214</v>
      </c>
      <c r="Y31" s="332">
        <f t="shared" si="2"/>
        <v>-0.327586206896551</v>
      </c>
      <c r="Z31" s="106">
        <f t="shared" si="3"/>
        <v>1.58518755529044</v>
      </c>
      <c r="AA31" s="332">
        <f t="shared" si="4"/>
        <v>-0.14580265095729</v>
      </c>
      <c r="AC31" s="505">
        <f t="shared" si="5"/>
        <v>6.76402007550368</v>
      </c>
      <c r="AD31" s="505">
        <f t="shared" si="6"/>
        <v>7.25</v>
      </c>
      <c r="AE31" s="506"/>
      <c r="AF31" s="505">
        <f t="shared" si="7"/>
        <v>5.76420857813532</v>
      </c>
      <c r="AG31" s="505">
        <f t="shared" si="8"/>
        <v>4.83333333333333</v>
      </c>
      <c r="AI31" s="180">
        <f t="shared" si="9"/>
        <v>0.41746795953311</v>
      </c>
    </row>
    <row r="32" ht="26" spans="2:35">
      <c r="B32" s="104" t="s">
        <v>86</v>
      </c>
      <c r="C32" s="104"/>
      <c r="W32" s="499">
        <f t="shared" si="11"/>
        <v>0.57</v>
      </c>
      <c r="X32" s="332">
        <f t="shared" si="1"/>
        <v>0.545939711412604</v>
      </c>
      <c r="Y32" s="332">
        <f t="shared" si="2"/>
        <v>-0.31578947368421</v>
      </c>
      <c r="Z32" s="106">
        <f t="shared" si="3"/>
        <v>1.72880908613991</v>
      </c>
      <c r="AA32" s="332">
        <f t="shared" si="4"/>
        <v>-0.160530191458027</v>
      </c>
      <c r="AC32" s="505">
        <f t="shared" si="5"/>
        <v>6.64739903971914</v>
      </c>
      <c r="AD32" s="505">
        <f t="shared" si="6"/>
        <v>7.125</v>
      </c>
      <c r="AE32" s="506"/>
      <c r="AF32" s="505">
        <f t="shared" si="7"/>
        <v>5.66482567161574</v>
      </c>
      <c r="AG32" s="505">
        <f t="shared" si="8"/>
        <v>4.75</v>
      </c>
      <c r="AI32" s="180">
        <f t="shared" si="9"/>
        <v>0.424791958823165</v>
      </c>
    </row>
    <row r="33" spans="2:35">
      <c r="B33" s="2" t="s">
        <v>87</v>
      </c>
      <c r="C33" s="99">
        <f>L19</f>
        <v>0.100620925169163</v>
      </c>
      <c r="W33" s="499">
        <f t="shared" si="11"/>
        <v>0.56</v>
      </c>
      <c r="X33" s="332">
        <f t="shared" si="1"/>
        <v>0.573545777687829</v>
      </c>
      <c r="Y33" s="332">
        <f t="shared" si="2"/>
        <v>-0.303571428571428</v>
      </c>
      <c r="Z33" s="106">
        <f t="shared" si="3"/>
        <v>1.88932726767756</v>
      </c>
      <c r="AA33" s="332">
        <f t="shared" si="4"/>
        <v>-0.175257731958763</v>
      </c>
      <c r="AC33" s="505">
        <f t="shared" si="5"/>
        <v>6.53077800393459</v>
      </c>
      <c r="AD33" s="505">
        <f t="shared" si="6"/>
        <v>7</v>
      </c>
      <c r="AE33" s="506"/>
      <c r="AF33" s="505">
        <f t="shared" si="7"/>
        <v>5.56544276509617</v>
      </c>
      <c r="AG33" s="505">
        <f t="shared" si="8"/>
        <v>4.66666666666667</v>
      </c>
      <c r="AI33" s="180">
        <f t="shared" si="9"/>
        <v>0.432377529516435</v>
      </c>
    </row>
    <row r="34" spans="2:35">
      <c r="B34" s="2" t="s">
        <v>74</v>
      </c>
      <c r="C34" s="146">
        <f>S9</f>
        <v>8.8</v>
      </c>
      <c r="W34" s="499">
        <f t="shared" si="11"/>
        <v>0.55</v>
      </c>
      <c r="X34" s="332">
        <f t="shared" si="1"/>
        <v>0.602155700918517</v>
      </c>
      <c r="Y34" s="332">
        <f t="shared" si="2"/>
        <v>-0.290909090909091</v>
      </c>
      <c r="Z34" s="106">
        <f t="shared" si="3"/>
        <v>2.0699102219074</v>
      </c>
      <c r="AA34" s="332">
        <f t="shared" si="4"/>
        <v>-0.1899852724595</v>
      </c>
      <c r="AC34" s="505">
        <f t="shared" si="5"/>
        <v>6.41415696815004</v>
      </c>
      <c r="AD34" s="505">
        <f t="shared" si="6"/>
        <v>6.875</v>
      </c>
      <c r="AE34" s="506"/>
      <c r="AF34" s="505">
        <f t="shared" si="7"/>
        <v>5.46605985857659</v>
      </c>
      <c r="AG34" s="505">
        <f t="shared" si="8"/>
        <v>4.58333333333333</v>
      </c>
      <c r="AI34" s="180">
        <f t="shared" si="9"/>
        <v>0.440238939144007</v>
      </c>
    </row>
    <row r="35" spans="2:35">
      <c r="B35" s="484" t="s">
        <v>88</v>
      </c>
      <c r="C35" s="479">
        <f>C33*C34</f>
        <v>0.885464141488633</v>
      </c>
      <c r="W35" s="499">
        <f t="shared" si="11"/>
        <v>0.54</v>
      </c>
      <c r="X35" s="332">
        <f t="shared" si="1"/>
        <v>0.631825250935527</v>
      </c>
      <c r="Y35" s="332">
        <f t="shared" si="2"/>
        <v>-0.277777777777777</v>
      </c>
      <c r="Z35" s="106">
        <f t="shared" si="3"/>
        <v>2.2745709033679</v>
      </c>
      <c r="AA35" s="332">
        <f t="shared" si="4"/>
        <v>-0.204712812960236</v>
      </c>
      <c r="AC35" s="505">
        <f t="shared" si="5"/>
        <v>6.2975359323655</v>
      </c>
      <c r="AD35" s="505">
        <f t="shared" si="6"/>
        <v>6.75</v>
      </c>
      <c r="AE35" s="506"/>
      <c r="AF35" s="505">
        <f t="shared" si="7"/>
        <v>5.36667695205702</v>
      </c>
      <c r="AG35" s="505">
        <f t="shared" si="8"/>
        <v>4.5</v>
      </c>
      <c r="AI35" s="180">
        <f t="shared" si="9"/>
        <v>0.448391512091118</v>
      </c>
    </row>
    <row r="36" spans="2:35">
      <c r="B36" s="484" t="s">
        <v>89</v>
      </c>
      <c r="C36" s="485">
        <f>C35/C7-1</f>
        <v>0.30407090057236</v>
      </c>
      <c r="W36" s="499">
        <f t="shared" si="11"/>
        <v>0.53</v>
      </c>
      <c r="X36" s="332">
        <f t="shared" si="1"/>
        <v>0.662614406613556</v>
      </c>
      <c r="Y36" s="332">
        <f t="shared" si="2"/>
        <v>-0.264150943396226</v>
      </c>
      <c r="Z36" s="106">
        <f t="shared" si="3"/>
        <v>2.50846882503703</v>
      </c>
      <c r="AA36" s="332">
        <f t="shared" si="4"/>
        <v>-0.219440353460972</v>
      </c>
      <c r="AC36" s="505">
        <f t="shared" si="5"/>
        <v>6.18091489658095</v>
      </c>
      <c r="AD36" s="505">
        <f t="shared" si="6"/>
        <v>6.625</v>
      </c>
      <c r="AE36" s="506"/>
      <c r="AF36" s="505">
        <f t="shared" si="7"/>
        <v>5.26729404553744</v>
      </c>
      <c r="AG36" s="505">
        <f t="shared" si="8"/>
        <v>4.41666666666667</v>
      </c>
      <c r="AI36" s="180">
        <f t="shared" si="9"/>
        <v>0.456851729300385</v>
      </c>
    </row>
    <row r="37" spans="2:35">
      <c r="B37" s="487"/>
      <c r="C37" s="16"/>
      <c r="W37" s="499">
        <f t="shared" si="11"/>
        <v>0.52</v>
      </c>
      <c r="X37" s="332">
        <f t="shared" si="1"/>
        <v>0.694587760586893</v>
      </c>
      <c r="Y37" s="332">
        <f t="shared" si="2"/>
        <v>-0.25</v>
      </c>
      <c r="Z37" s="106">
        <f t="shared" si="3"/>
        <v>2.77835104234758</v>
      </c>
      <c r="AA37" s="332">
        <f t="shared" si="4"/>
        <v>-0.234167893961709</v>
      </c>
      <c r="AC37" s="505">
        <f t="shared" si="5"/>
        <v>6.0642938607964</v>
      </c>
      <c r="AD37" s="505">
        <f t="shared" si="6"/>
        <v>6.5</v>
      </c>
      <c r="AE37" s="506"/>
      <c r="AF37" s="505">
        <f t="shared" si="7"/>
        <v>5.16791113901787</v>
      </c>
      <c r="AG37" s="505">
        <f t="shared" si="8"/>
        <v>4.33333333333333</v>
      </c>
      <c r="AI37" s="180">
        <f t="shared" si="9"/>
        <v>0.465637339479238</v>
      </c>
    </row>
    <row r="38" ht="26" spans="2:35">
      <c r="B38" s="104" t="s">
        <v>90</v>
      </c>
      <c r="C38" s="104"/>
      <c r="W38" s="499">
        <f t="shared" si="11"/>
        <v>0.51</v>
      </c>
      <c r="X38" s="332">
        <f t="shared" si="1"/>
        <v>0.727814971578793</v>
      </c>
      <c r="Y38" s="332">
        <f t="shared" si="2"/>
        <v>-0.235294117647058</v>
      </c>
      <c r="Z38" s="106">
        <f t="shared" si="3"/>
        <v>3.09321362920988</v>
      </c>
      <c r="AA38" s="332">
        <f t="shared" si="4"/>
        <v>-0.248895434462445</v>
      </c>
      <c r="AC38" s="505">
        <f t="shared" si="5"/>
        <v>5.94767282501186</v>
      </c>
      <c r="AD38" s="505">
        <f t="shared" si="6"/>
        <v>6.375</v>
      </c>
      <c r="AE38" s="506"/>
      <c r="AF38" s="505">
        <f t="shared" si="7"/>
        <v>5.06852823249829</v>
      </c>
      <c r="AG38" s="505">
        <f t="shared" si="8"/>
        <v>4.25</v>
      </c>
      <c r="AI38" s="180">
        <f t="shared" si="9"/>
        <v>0.474767483390596</v>
      </c>
    </row>
    <row r="39" spans="2:35">
      <c r="B39" s="2" t="s">
        <v>91</v>
      </c>
      <c r="C39" s="120">
        <f>R10</f>
        <v>0.05</v>
      </c>
      <c r="W39" s="499">
        <f t="shared" si="11"/>
        <v>0.5</v>
      </c>
      <c r="X39" s="332">
        <f t="shared" si="1"/>
        <v>0.762371271010369</v>
      </c>
      <c r="Y39" s="332">
        <f t="shared" si="2"/>
        <v>-0.22</v>
      </c>
      <c r="Z39" s="106">
        <f t="shared" si="3"/>
        <v>3.46532395913805</v>
      </c>
      <c r="AA39" s="332">
        <f t="shared" si="4"/>
        <v>-0.263622974963182</v>
      </c>
      <c r="AC39" s="505">
        <f t="shared" si="5"/>
        <v>5.83105178922731</v>
      </c>
      <c r="AD39" s="505">
        <f t="shared" si="6"/>
        <v>6.25</v>
      </c>
      <c r="AE39" s="506"/>
      <c r="AF39" s="505">
        <f t="shared" si="7"/>
        <v>4.96914532597872</v>
      </c>
      <c r="AG39" s="505">
        <f t="shared" si="8"/>
        <v>4.16666666666667</v>
      </c>
      <c r="AI39" s="180">
        <f t="shared" si="9"/>
        <v>0.484262833058408</v>
      </c>
    </row>
    <row r="40" spans="2:35">
      <c r="B40" s="2" t="s">
        <v>74</v>
      </c>
      <c r="C40" s="146">
        <f>S10</f>
        <v>7.8</v>
      </c>
      <c r="W40" s="499">
        <f t="shared" si="11"/>
        <v>0.49</v>
      </c>
      <c r="X40" s="332">
        <f t="shared" si="1"/>
        <v>0.798338031643234</v>
      </c>
      <c r="Y40" s="332">
        <f t="shared" si="2"/>
        <v>-0.204081632653061</v>
      </c>
      <c r="Z40" s="106">
        <f t="shared" si="3"/>
        <v>3.91185635505185</v>
      </c>
      <c r="AA40" s="332">
        <f t="shared" si="4"/>
        <v>-0.278350515463918</v>
      </c>
      <c r="AC40" s="505">
        <f t="shared" si="5"/>
        <v>5.71443075344276</v>
      </c>
      <c r="AD40" s="505">
        <f t="shared" si="6"/>
        <v>6.125</v>
      </c>
      <c r="AE40" s="506"/>
      <c r="AF40" s="505">
        <f t="shared" si="7"/>
        <v>4.86976241945914</v>
      </c>
      <c r="AG40" s="505">
        <f t="shared" si="8"/>
        <v>4.08333333333333</v>
      </c>
      <c r="AI40" s="180">
        <f t="shared" si="9"/>
        <v>0.494145748018784</v>
      </c>
    </row>
    <row r="41" spans="2:35">
      <c r="B41" s="480" t="s">
        <v>92</v>
      </c>
      <c r="C41" s="488">
        <f>C39*C40</f>
        <v>0.39</v>
      </c>
      <c r="W41" s="499">
        <f t="shared" si="11"/>
        <v>0.48</v>
      </c>
      <c r="X41" s="332">
        <f t="shared" si="1"/>
        <v>0.835803407302468</v>
      </c>
      <c r="Y41" s="332">
        <f t="shared" si="2"/>
        <v>-0.1875</v>
      </c>
      <c r="Z41" s="106">
        <f t="shared" si="3"/>
        <v>4.45761817227984</v>
      </c>
      <c r="AA41" s="332">
        <f t="shared" si="4"/>
        <v>-0.293078055964654</v>
      </c>
      <c r="AC41" s="505">
        <f t="shared" si="5"/>
        <v>5.59780971765822</v>
      </c>
      <c r="AD41" s="505">
        <f t="shared" si="6"/>
        <v>6</v>
      </c>
      <c r="AE41" s="506"/>
      <c r="AF41" s="505">
        <f t="shared" si="7"/>
        <v>4.77037951293957</v>
      </c>
      <c r="AG41" s="505">
        <f t="shared" si="8"/>
        <v>4</v>
      </c>
      <c r="AI41" s="180">
        <f t="shared" si="9"/>
        <v>0.504440451102508</v>
      </c>
    </row>
    <row r="42" spans="2:35">
      <c r="B42" s="484" t="s">
        <v>28</v>
      </c>
      <c r="C42" s="485">
        <f>C41/C7-1</f>
        <v>-0.425625920471281</v>
      </c>
      <c r="W42" s="499">
        <f t="shared" si="11"/>
        <v>0.47</v>
      </c>
      <c r="X42" s="332">
        <f t="shared" si="1"/>
        <v>0.87486305426635</v>
      </c>
      <c r="Y42" s="332">
        <f t="shared" si="2"/>
        <v>-0.170212765957446</v>
      </c>
      <c r="Z42" s="106">
        <f t="shared" si="3"/>
        <v>5.13982044381482</v>
      </c>
      <c r="AA42" s="332">
        <f t="shared" si="4"/>
        <v>-0.307805596465391</v>
      </c>
      <c r="AC42" s="505">
        <f t="shared" si="5"/>
        <v>5.48118868187367</v>
      </c>
      <c r="AD42" s="505">
        <f t="shared" si="6"/>
        <v>5.875</v>
      </c>
      <c r="AE42" s="506"/>
      <c r="AF42" s="505">
        <f t="shared" si="7"/>
        <v>4.67099660642</v>
      </c>
      <c r="AG42" s="505">
        <f t="shared" si="8"/>
        <v>3.91666666666666</v>
      </c>
      <c r="AI42" s="180">
        <f t="shared" si="9"/>
        <v>0.515173226657881</v>
      </c>
    </row>
    <row r="43" spans="2:35">
      <c r="B43" s="487"/>
      <c r="W43" s="499">
        <f t="shared" si="11"/>
        <v>0.46</v>
      </c>
      <c r="X43" s="332">
        <f t="shared" si="1"/>
        <v>0.915620946750401</v>
      </c>
      <c r="Y43" s="332">
        <f t="shared" si="2"/>
        <v>-0.152173913043478</v>
      </c>
      <c r="Z43" s="106">
        <f t="shared" si="3"/>
        <v>6.01693765007409</v>
      </c>
      <c r="AA43" s="332">
        <f t="shared" si="4"/>
        <v>-0.322533136966127</v>
      </c>
      <c r="AC43" s="505">
        <f t="shared" si="5"/>
        <v>5.36456764608913</v>
      </c>
      <c r="AD43" s="505">
        <f t="shared" si="6"/>
        <v>5.75</v>
      </c>
      <c r="AE43" s="506"/>
      <c r="AF43" s="505">
        <f t="shared" si="7"/>
        <v>4.57161369990042</v>
      </c>
      <c r="AG43" s="505">
        <f t="shared" si="8"/>
        <v>3.83333333333333</v>
      </c>
      <c r="AI43" s="180">
        <f t="shared" si="9"/>
        <v>0.526372644628704</v>
      </c>
    </row>
    <row r="44" spans="2:35">
      <c r="B44" s="487"/>
      <c r="W44" s="499">
        <f t="shared" si="11"/>
        <v>0.45</v>
      </c>
      <c r="X44" s="332">
        <f t="shared" si="1"/>
        <v>0.958190301122632</v>
      </c>
      <c r="Y44" s="332">
        <f t="shared" si="2"/>
        <v>-0.133333333333333</v>
      </c>
      <c r="Z44" s="106">
        <f t="shared" si="3"/>
        <v>7.18642725841978</v>
      </c>
      <c r="AA44" s="332">
        <f t="shared" si="4"/>
        <v>-0.337260677466864</v>
      </c>
      <c r="AC44" s="505">
        <f t="shared" si="5"/>
        <v>5.24794661030458</v>
      </c>
      <c r="AD44" s="505">
        <f t="shared" si="6"/>
        <v>5.625</v>
      </c>
      <c r="AE44" s="506"/>
      <c r="AF44" s="505">
        <f t="shared" si="7"/>
        <v>4.47223079338085</v>
      </c>
      <c r="AG44" s="505">
        <f t="shared" si="8"/>
        <v>3.75</v>
      </c>
      <c r="AI44" s="180">
        <f t="shared" si="9"/>
        <v>0.538069814509342</v>
      </c>
    </row>
    <row r="45" spans="23:35">
      <c r="W45" s="499">
        <f t="shared" si="11"/>
        <v>0.44</v>
      </c>
      <c r="X45" s="332">
        <f t="shared" si="1"/>
        <v>1.00269462614815</v>
      </c>
      <c r="Y45" s="332">
        <f t="shared" si="2"/>
        <v>-0.113636363636363</v>
      </c>
      <c r="Z45" s="106">
        <f t="shared" si="3"/>
        <v>8.82371271010374</v>
      </c>
      <c r="AA45" s="332">
        <f t="shared" si="4"/>
        <v>-0.3519882179676</v>
      </c>
      <c r="AC45" s="505">
        <f t="shared" si="5"/>
        <v>5.13132557452003</v>
      </c>
      <c r="AD45" s="505">
        <f t="shared" si="6"/>
        <v>5.5</v>
      </c>
      <c r="AE45" s="506"/>
      <c r="AF45" s="505">
        <f t="shared" si="7"/>
        <v>4.37284788686127</v>
      </c>
      <c r="AG45" s="505">
        <f t="shared" si="8"/>
        <v>3.66666666666666</v>
      </c>
      <c r="AI45" s="180">
        <f t="shared" si="9"/>
        <v>0.550298673930009</v>
      </c>
    </row>
    <row r="46" spans="23:35">
      <c r="W46" s="499">
        <f t="shared" si="11"/>
        <v>0.43</v>
      </c>
      <c r="X46" s="332">
        <f t="shared" si="1"/>
        <v>1.0492689197795</v>
      </c>
      <c r="Y46" s="332">
        <f t="shared" si="2"/>
        <v>-0.0930232558139529</v>
      </c>
      <c r="Z46" s="106">
        <f t="shared" si="3"/>
        <v>11.2796408876297</v>
      </c>
      <c r="AA46" s="332">
        <f t="shared" si="4"/>
        <v>-0.366715758468336</v>
      </c>
      <c r="AC46" s="505">
        <f t="shared" si="5"/>
        <v>5.01470453873549</v>
      </c>
      <c r="AD46" s="505">
        <f t="shared" si="6"/>
        <v>5.375</v>
      </c>
      <c r="AE46" s="506"/>
      <c r="AF46" s="505">
        <f t="shared" si="7"/>
        <v>4.2734649803417</v>
      </c>
      <c r="AG46" s="505">
        <f t="shared" si="8"/>
        <v>3.58333333333333</v>
      </c>
      <c r="AI46" s="180">
        <f t="shared" si="9"/>
        <v>0.563096317509777</v>
      </c>
    </row>
    <row r="47" spans="23:35">
      <c r="W47" s="499">
        <f t="shared" si="11"/>
        <v>0.42</v>
      </c>
      <c r="X47" s="332">
        <f t="shared" si="1"/>
        <v>1.09806103691711</v>
      </c>
      <c r="Y47" s="332">
        <f t="shared" si="2"/>
        <v>-0.0714285714285707</v>
      </c>
      <c r="Z47" s="106">
        <f t="shared" si="3"/>
        <v>15.3728545168396</v>
      </c>
      <c r="AA47" s="332">
        <f t="shared" si="4"/>
        <v>-0.381443298969073</v>
      </c>
      <c r="AC47" s="505">
        <f t="shared" si="5"/>
        <v>4.89808350295094</v>
      </c>
      <c r="AD47" s="505">
        <f t="shared" si="6"/>
        <v>5.25</v>
      </c>
      <c r="AE47" s="506"/>
      <c r="AF47" s="505">
        <f t="shared" si="7"/>
        <v>4.17408207382212</v>
      </c>
      <c r="AG47" s="505">
        <f t="shared" si="8"/>
        <v>3.5</v>
      </c>
      <c r="AI47" s="180">
        <f t="shared" si="9"/>
        <v>0.576503372688581</v>
      </c>
    </row>
    <row r="48" spans="23:35">
      <c r="W48" s="499">
        <f t="shared" si="11"/>
        <v>0.41</v>
      </c>
      <c r="X48" s="332">
        <f t="shared" si="1"/>
        <v>1.14923325732972</v>
      </c>
      <c r="Y48" s="332">
        <f t="shared" si="2"/>
        <v>-0.0487804878048773</v>
      </c>
      <c r="Z48" s="106">
        <f t="shared" si="3"/>
        <v>23.5592817752596</v>
      </c>
      <c r="AA48" s="332">
        <f t="shared" si="4"/>
        <v>-0.396170839469809</v>
      </c>
      <c r="AC48" s="505">
        <f t="shared" si="5"/>
        <v>4.78146246716639</v>
      </c>
      <c r="AD48" s="505">
        <f t="shared" si="6"/>
        <v>5.125</v>
      </c>
      <c r="AE48" s="506"/>
      <c r="AF48" s="505">
        <f t="shared" si="7"/>
        <v>4.07469916730255</v>
      </c>
      <c r="AG48" s="505">
        <f t="shared" si="8"/>
        <v>3.41666666666666</v>
      </c>
      <c r="AI48" s="180">
        <f t="shared" si="9"/>
        <v>0.590564430559034</v>
      </c>
    </row>
    <row r="49" spans="23:35">
      <c r="W49" s="499">
        <f t="shared" si="11"/>
        <v>0.4</v>
      </c>
      <c r="X49" s="332">
        <f t="shared" si="1"/>
        <v>1.20296408876296</v>
      </c>
      <c r="Y49" s="332">
        <f t="shared" si="2"/>
        <v>-0.0249999999999992</v>
      </c>
      <c r="Z49" s="106">
        <f t="shared" si="3"/>
        <v>48.1185635505199</v>
      </c>
      <c r="AA49" s="332">
        <f t="shared" si="4"/>
        <v>-0.410898379970545</v>
      </c>
      <c r="AC49" s="505">
        <f t="shared" si="5"/>
        <v>4.66484143138185</v>
      </c>
      <c r="AD49" s="505">
        <f t="shared" si="6"/>
        <v>5</v>
      </c>
      <c r="AE49" s="506"/>
      <c r="AF49" s="505">
        <f t="shared" si="7"/>
        <v>3.97531626078297</v>
      </c>
      <c r="AG49" s="505">
        <f t="shared" si="8"/>
        <v>3.33333333333333</v>
      </c>
      <c r="AI49" s="180">
        <f t="shared" si="9"/>
        <v>0.60532854132301</v>
      </c>
    </row>
    <row r="50" spans="28:40">
      <c r="AB50" s="499"/>
      <c r="AC50" s="332"/>
      <c r="AD50" s="332"/>
      <c r="AE50" s="106"/>
      <c r="AF50" s="332"/>
      <c r="AH50" s="505"/>
      <c r="AI50" s="505"/>
      <c r="AJ50" s="506"/>
      <c r="AK50" s="505"/>
      <c r="AL50" s="505"/>
      <c r="AN50" s="180"/>
    </row>
    <row r="51" spans="28:40">
      <c r="AB51" s="499"/>
      <c r="AC51" s="332"/>
      <c r="AD51" s="332"/>
      <c r="AE51" s="106"/>
      <c r="AF51" s="332"/>
      <c r="AH51" s="505"/>
      <c r="AI51" s="505"/>
      <c r="AJ51" s="506"/>
      <c r="AK51" s="505"/>
      <c r="AL51" s="505"/>
      <c r="AN51" s="180"/>
    </row>
    <row r="52" spans="28:40">
      <c r="AB52" s="499"/>
      <c r="AC52" s="332"/>
      <c r="AD52" s="332"/>
      <c r="AE52" s="106"/>
      <c r="AF52" s="332"/>
      <c r="AH52" s="505"/>
      <c r="AI52" s="505"/>
      <c r="AJ52" s="506"/>
      <c r="AK52" s="505"/>
      <c r="AL52" s="505"/>
      <c r="AN52" s="180"/>
    </row>
    <row r="53" spans="28:40">
      <c r="AB53" s="499"/>
      <c r="AC53" s="332"/>
      <c r="AD53" s="332"/>
      <c r="AE53" s="106"/>
      <c r="AF53" s="332"/>
      <c r="AH53" s="505"/>
      <c r="AI53" s="505"/>
      <c r="AJ53" s="506"/>
      <c r="AK53" s="505"/>
      <c r="AL53" s="505"/>
      <c r="AN53" s="180"/>
    </row>
    <row r="54" spans="28:40">
      <c r="AB54" s="499"/>
      <c r="AC54" s="332"/>
      <c r="AD54" s="332"/>
      <c r="AE54" s="106"/>
      <c r="AF54" s="332"/>
      <c r="AH54" s="505"/>
      <c r="AI54" s="505"/>
      <c r="AJ54" s="506"/>
      <c r="AK54" s="505"/>
      <c r="AL54" s="505"/>
      <c r="AN54" s="180"/>
    </row>
    <row r="55" spans="28:40">
      <c r="AB55" s="499"/>
      <c r="AC55" s="332"/>
      <c r="AD55" s="332"/>
      <c r="AE55" s="106"/>
      <c r="AF55" s="332"/>
      <c r="AH55" s="505"/>
      <c r="AI55" s="505"/>
      <c r="AJ55" s="506"/>
      <c r="AK55" s="505"/>
      <c r="AL55" s="505"/>
      <c r="AN55" s="180"/>
    </row>
    <row r="56" spans="28:40">
      <c r="AB56" s="499"/>
      <c r="AC56" s="332"/>
      <c r="AD56" s="332"/>
      <c r="AE56" s="106"/>
      <c r="AF56" s="332"/>
      <c r="AH56" s="505"/>
      <c r="AI56" s="505"/>
      <c r="AJ56" s="506"/>
      <c r="AK56" s="505"/>
      <c r="AL56" s="505"/>
      <c r="AN56" s="180"/>
    </row>
    <row r="57" spans="28:40">
      <c r="AB57" s="499"/>
      <c r="AC57" s="332"/>
      <c r="AD57" s="332"/>
      <c r="AE57" s="106"/>
      <c r="AF57" s="332"/>
      <c r="AH57" s="505"/>
      <c r="AI57" s="505"/>
      <c r="AJ57" s="506"/>
      <c r="AK57" s="505"/>
      <c r="AL57" s="505"/>
      <c r="AN57" s="180"/>
    </row>
    <row r="58" spans="28:40">
      <c r="AB58" s="499"/>
      <c r="AC58" s="332"/>
      <c r="AD58" s="332"/>
      <c r="AE58" s="106"/>
      <c r="AF58" s="332"/>
      <c r="AH58" s="505"/>
      <c r="AI58" s="505"/>
      <c r="AJ58" s="506"/>
      <c r="AK58" s="505"/>
      <c r="AL58" s="505"/>
      <c r="AN58" s="180"/>
    </row>
    <row r="59" spans="28:40">
      <c r="AB59" s="499"/>
      <c r="AC59" s="332"/>
      <c r="AD59" s="332"/>
      <c r="AE59" s="106"/>
      <c r="AF59" s="332"/>
      <c r="AH59" s="505"/>
      <c r="AI59" s="505"/>
      <c r="AJ59" s="506"/>
      <c r="AK59" s="505"/>
      <c r="AL59" s="505"/>
      <c r="AN59" s="180"/>
    </row>
    <row r="60" spans="28:38">
      <c r="AB60" s="499"/>
      <c r="AC60" s="332"/>
      <c r="AD60" s="332"/>
      <c r="AE60" s="106"/>
      <c r="AF60" s="332"/>
      <c r="AH60" s="505"/>
      <c r="AI60" s="505"/>
      <c r="AJ60" s="506"/>
      <c r="AK60" s="505"/>
      <c r="AL60" s="505"/>
    </row>
    <row r="61" spans="28:38">
      <c r="AB61" s="499"/>
      <c r="AC61" s="332"/>
      <c r="AD61" s="332"/>
      <c r="AE61" s="106"/>
      <c r="AF61" s="332"/>
      <c r="AH61" s="505"/>
      <c r="AI61" s="505"/>
      <c r="AJ61" s="506"/>
      <c r="AK61" s="505"/>
      <c r="AL61" s="505"/>
    </row>
    <row r="62" spans="28:38">
      <c r="AB62" s="499"/>
      <c r="AC62" s="332"/>
      <c r="AD62" s="332"/>
      <c r="AE62" s="106"/>
      <c r="AF62" s="332"/>
      <c r="AH62" s="505"/>
      <c r="AI62" s="505"/>
      <c r="AJ62" s="506"/>
      <c r="AK62" s="505"/>
      <c r="AL62" s="505"/>
    </row>
    <row r="63" spans="28:32">
      <c r="AB63" s="99"/>
      <c r="AC63" s="16"/>
      <c r="AD63" s="16"/>
      <c r="AE63" s="146"/>
      <c r="AF63" s="16"/>
    </row>
    <row r="64" spans="28:32">
      <c r="AB64" s="99"/>
      <c r="AC64" s="16"/>
      <c r="AD64" s="16"/>
      <c r="AE64" s="146"/>
      <c r="AF64" s="16"/>
    </row>
    <row r="65" spans="28:32">
      <c r="AB65" s="99"/>
      <c r="AC65" s="16"/>
      <c r="AD65" s="16"/>
      <c r="AE65" s="146"/>
      <c r="AF65" s="16"/>
    </row>
  </sheetData>
  <mergeCells count="10">
    <mergeCell ref="B6:C6"/>
    <mergeCell ref="Q6:U6"/>
    <mergeCell ref="W6:AA6"/>
    <mergeCell ref="AC6:AD6"/>
    <mergeCell ref="AF6:AG6"/>
    <mergeCell ref="Q13:T13"/>
    <mergeCell ref="B23:C23"/>
    <mergeCell ref="Q27:T27"/>
    <mergeCell ref="B32:C32"/>
    <mergeCell ref="B38:C38"/>
  </mergeCells>
  <conditionalFormatting sqref="Z8:Z49">
    <cfRule type="colorScale" priority="1">
      <colorScale>
        <cfvo type="min"/>
        <cfvo type="max"/>
        <color rgb="FFFCFCFF"/>
        <color rgb="FF63BE7B"/>
      </colorScale>
    </cfRule>
  </conditionalFormatting>
  <conditionalFormatting sqref="AI8:AI49">
    <cfRule type="colorScale" priority="2">
      <colorScale>
        <cfvo type="min"/>
        <cfvo type="max"/>
        <color rgb="FFFCFCFF"/>
        <color rgb="FF63BE7B"/>
      </colorScale>
    </cfRule>
  </conditionalFormatting>
  <conditionalFormatting sqref="AC50:AC59 X8:X49">
    <cfRule type="colorScale" priority="4">
      <colorScale>
        <cfvo type="min"/>
        <cfvo type="max"/>
        <color rgb="FFFCFCFF"/>
        <color rgb="FF63BE7B"/>
      </colorScale>
    </cfRule>
  </conditionalFormatting>
  <conditionalFormatting sqref="AD50:AD59 Y8:Y49">
    <cfRule type="colorScale" priority="5">
      <colorScale>
        <cfvo type="min"/>
        <cfvo type="max"/>
        <color rgb="FFF8696B"/>
        <color rgb="FFFCFCFF"/>
      </colorScale>
    </cfRule>
  </conditionalFormatting>
  <conditionalFormatting sqref="AF50:AF65 AA8:AA49">
    <cfRule type="colorScale" priority="8">
      <colorScale>
        <cfvo type="min"/>
        <cfvo type="percentile" val="50"/>
        <cfvo type="max"/>
        <color rgb="FFF8696B"/>
        <color rgb="FFFFEB84"/>
        <color rgb="FF63BE7B"/>
      </colorScale>
    </cfRule>
  </conditionalFormatting>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R415"/>
  <sheetViews>
    <sheetView showGridLines="0" tabSelected="1" zoomScale="85" zoomScaleNormal="85" topLeftCell="B3" workbookViewId="0">
      <pane xSplit="2" ySplit="3" topLeftCell="D364" activePane="bottomRight" state="frozen"/>
      <selection/>
      <selection pane="topRight"/>
      <selection pane="bottomLeft"/>
      <selection pane="bottomRight" activeCell="Y382" sqref="Y382"/>
    </sheetView>
  </sheetViews>
  <sheetFormatPr defaultColWidth="9" defaultRowHeight="15.5"/>
  <cols>
    <col min="1" max="1" width="9" hidden="1" customWidth="1"/>
    <col min="2" max="2" width="4.5" customWidth="1"/>
    <col min="3" max="3" width="48.5" customWidth="1"/>
    <col min="4" max="4" width="1.25384615384615" customWidth="1"/>
    <col min="5" max="5" width="10.6230769230769" hidden="1" customWidth="1"/>
    <col min="6" max="7" width="9.75384615384615" customWidth="1"/>
    <col min="8" max="8" width="11.6230769230769" customWidth="1"/>
    <col min="9" max="9" width="9.12307692307692" customWidth="1"/>
    <col min="10" max="10" width="10.3769230769231" customWidth="1"/>
    <col min="11" max="11" width="11.6230769230769" customWidth="1"/>
    <col min="12" max="12" width="2.37692307692308" hidden="1" customWidth="1"/>
    <col min="13" max="14" width="9.25384615384615" hidden="1" customWidth="1"/>
    <col min="15" max="15" width="11.6230769230769" customWidth="1"/>
    <col min="16" max="16" width="2.75384615384615" hidden="1" customWidth="1"/>
    <col min="17" max="17" width="9.25384615384615" hidden="1" customWidth="1"/>
    <col min="18" max="18" width="9.75384615384615" hidden="1" customWidth="1"/>
    <col min="19" max="19" width="11.5" customWidth="1"/>
    <col min="20" max="20" width="3" customWidth="1"/>
    <col min="21" max="23" width="11.5" customWidth="1"/>
    <col min="24" max="24" width="3" customWidth="1"/>
    <col min="25" max="25" width="9.5" customWidth="1"/>
    <col min="26" max="26" width="11.5" customWidth="1"/>
    <col min="27" max="27" width="11.6230769230769" customWidth="1" outlineLevel="1"/>
    <col min="28" max="29" width="12.2538461538462" customWidth="1" outlineLevel="1"/>
    <col min="30" max="32" width="10.8769230769231" customWidth="1" outlineLevel="1"/>
    <col min="33" max="33" width="14.3769230769231" customWidth="1" outlineLevel="1"/>
    <col min="34" max="34" width="11.5" customWidth="1"/>
    <col min="35" max="35" width="29.7538461538462" customWidth="1"/>
    <col min="36" max="36" width="8.87692307692308" hidden="1" customWidth="1"/>
    <col min="37" max="37" width="15.2538461538462" customWidth="1"/>
    <col min="38" max="40" width="8.87692307692308" customWidth="1"/>
    <col min="41" max="41" width="10.8769230769231" customWidth="1"/>
    <col min="42" max="42" width="11.6230769230769" style="185" customWidth="1"/>
    <col min="43" max="43" width="11.6230769230769" style="186" customWidth="1"/>
    <col min="44" max="46" width="11.6230769230769" customWidth="1"/>
    <col min="47" max="47" width="12.2538461538462" customWidth="1"/>
    <col min="48" max="49" width="11.6230769230769" customWidth="1"/>
    <col min="50" max="50" width="11.7538461538462" customWidth="1"/>
    <col min="51" max="52" width="11.6230769230769" customWidth="1"/>
  </cols>
  <sheetData>
    <row r="1" ht="18.5" hidden="1" spans="3:35">
      <c r="C1" s="54" t="s">
        <v>93</v>
      </c>
      <c r="D1" s="54"/>
      <c r="E1" s="54"/>
      <c r="F1" s="187"/>
      <c r="G1" s="187"/>
      <c r="H1" s="187"/>
      <c r="I1" s="188"/>
      <c r="J1" s="188"/>
      <c r="K1" s="188"/>
      <c r="O1" s="188"/>
      <c r="S1" s="188"/>
      <c r="W1" s="188"/>
      <c r="Y1" s="228"/>
      <c r="Z1" s="228"/>
      <c r="AA1" s="188"/>
      <c r="AB1" s="188"/>
      <c r="AC1" s="188"/>
      <c r="AD1" s="188"/>
      <c r="AE1" s="188"/>
      <c r="AF1" s="188"/>
      <c r="AI1" t="s">
        <v>94</v>
      </c>
    </row>
    <row r="2" hidden="1" spans="6:32">
      <c r="F2" s="188"/>
      <c r="G2" s="188"/>
      <c r="H2" s="188"/>
      <c r="I2" s="188"/>
      <c r="J2" s="188"/>
      <c r="K2" s="188"/>
      <c r="O2" s="188"/>
      <c r="S2" s="188"/>
      <c r="W2" s="188"/>
      <c r="Y2" s="228"/>
      <c r="Z2" s="228"/>
      <c r="AA2" s="188"/>
      <c r="AB2" s="188"/>
      <c r="AC2" s="188"/>
      <c r="AD2" s="188"/>
      <c r="AE2" s="188"/>
      <c r="AF2" s="188"/>
    </row>
    <row r="3" spans="5:32">
      <c r="E3" s="188"/>
      <c r="F3" s="188"/>
      <c r="G3" s="188"/>
      <c r="H3" s="188"/>
      <c r="I3" s="188"/>
      <c r="J3" s="188"/>
      <c r="K3" s="188"/>
      <c r="O3" s="188"/>
      <c r="S3" s="188"/>
      <c r="W3" s="188"/>
      <c r="Y3" s="228"/>
      <c r="Z3" s="228"/>
      <c r="AA3" s="188"/>
      <c r="AB3" s="188"/>
      <c r="AC3" s="188"/>
      <c r="AD3" s="188"/>
      <c r="AE3" s="188"/>
      <c r="AF3" s="188"/>
    </row>
    <row r="4" ht="26.75" spans="3:32">
      <c r="C4" s="154" t="s">
        <v>95</v>
      </c>
      <c r="E4" s="188"/>
      <c r="F4" s="188"/>
      <c r="G4" s="188"/>
      <c r="H4" s="188"/>
      <c r="I4" s="188"/>
      <c r="J4" s="188"/>
      <c r="K4" s="188"/>
      <c r="O4" s="188"/>
      <c r="S4" s="188"/>
      <c r="W4" s="188"/>
      <c r="Y4" s="228"/>
      <c r="Z4" s="228"/>
      <c r="AA4" s="188"/>
      <c r="AB4" s="188"/>
      <c r="AC4" s="188"/>
      <c r="AD4" s="188"/>
      <c r="AE4" s="188"/>
      <c r="AF4" s="188"/>
    </row>
    <row r="5" s="182" customFormat="1" ht="24.25" spans="3:35">
      <c r="C5" s="189" t="s">
        <v>96</v>
      </c>
      <c r="D5" s="189"/>
      <c r="E5" s="155" t="s">
        <v>97</v>
      </c>
      <c r="F5" s="155" t="s">
        <v>98</v>
      </c>
      <c r="G5" s="155" t="s">
        <v>99</v>
      </c>
      <c r="H5" s="155" t="s">
        <v>100</v>
      </c>
      <c r="I5" s="155" t="s">
        <v>101</v>
      </c>
      <c r="J5" s="155" t="s">
        <v>102</v>
      </c>
      <c r="K5" s="155" t="s">
        <v>103</v>
      </c>
      <c r="L5" s="213"/>
      <c r="M5" s="214" t="s">
        <v>104</v>
      </c>
      <c r="N5" s="214" t="s">
        <v>105</v>
      </c>
      <c r="O5" s="155" t="s">
        <v>106</v>
      </c>
      <c r="P5" s="213"/>
      <c r="Q5" s="214" t="s">
        <v>107</v>
      </c>
      <c r="R5" s="214" t="s">
        <v>108</v>
      </c>
      <c r="S5" s="155" t="s">
        <v>109</v>
      </c>
      <c r="T5" s="226"/>
      <c r="U5" s="214" t="s">
        <v>110</v>
      </c>
      <c r="V5" s="214" t="s">
        <v>111</v>
      </c>
      <c r="W5" s="155" t="s">
        <v>10</v>
      </c>
      <c r="X5" s="213"/>
      <c r="Y5" s="214" t="s">
        <v>112</v>
      </c>
      <c r="Z5" s="229" t="s">
        <v>113</v>
      </c>
      <c r="AA5" s="155" t="s">
        <v>114</v>
      </c>
      <c r="AB5" s="155" t="s">
        <v>115</v>
      </c>
      <c r="AC5" s="155" t="s">
        <v>116</v>
      </c>
      <c r="AD5" s="155" t="s">
        <v>117</v>
      </c>
      <c r="AE5" s="155" t="s">
        <v>118</v>
      </c>
      <c r="AF5" s="155" t="s">
        <v>119</v>
      </c>
      <c r="AG5" s="190"/>
      <c r="AH5" s="242"/>
      <c r="AI5" s="190"/>
    </row>
    <row r="6" s="182" customFormat="1" ht="23.5" spans="3:35">
      <c r="C6" s="2" t="s">
        <v>120</v>
      </c>
      <c r="D6" s="190"/>
      <c r="E6" s="191"/>
      <c r="F6" s="192">
        <v>42399</v>
      </c>
      <c r="G6" s="192">
        <v>42763</v>
      </c>
      <c r="H6" s="192">
        <v>43134</v>
      </c>
      <c r="I6" s="192">
        <v>43498</v>
      </c>
      <c r="J6" s="192">
        <v>43862</v>
      </c>
      <c r="K6" s="192">
        <v>44226</v>
      </c>
      <c r="L6" s="215"/>
      <c r="M6" s="215">
        <v>44408</v>
      </c>
      <c r="N6" s="215"/>
      <c r="O6" s="192">
        <v>44590</v>
      </c>
      <c r="P6" s="192"/>
      <c r="Q6" s="215">
        <v>44772</v>
      </c>
      <c r="R6" s="215"/>
      <c r="S6" s="192">
        <v>44954</v>
      </c>
      <c r="T6" s="215"/>
      <c r="U6" s="215">
        <v>45136</v>
      </c>
      <c r="V6" s="215"/>
      <c r="W6" s="192">
        <v>45325</v>
      </c>
      <c r="X6" s="215"/>
      <c r="Y6" s="215">
        <v>45507</v>
      </c>
      <c r="Z6" s="215"/>
      <c r="AA6" s="192">
        <f>W6+AA7</f>
        <v>45689</v>
      </c>
      <c r="AB6" s="192">
        <f>AA6+AB7</f>
        <v>46053</v>
      </c>
      <c r="AC6" s="192">
        <f>AB6+AC7</f>
        <v>46417</v>
      </c>
      <c r="AD6" s="192">
        <f t="shared" ref="AD6" si="0">AC6+AD7</f>
        <v>46781</v>
      </c>
      <c r="AE6" s="192">
        <f t="shared" ref="AE6" si="1">AD6+AE7</f>
        <v>47145</v>
      </c>
      <c r="AF6" s="192">
        <f t="shared" ref="AF6" si="2">AE6+AF7</f>
        <v>47509</v>
      </c>
      <c r="AG6" s="190"/>
      <c r="AH6" s="242"/>
      <c r="AI6" s="190"/>
    </row>
    <row r="7" s="2" customFormat="1" ht="18.5" spans="3:35">
      <c r="C7" s="2" t="s">
        <v>121</v>
      </c>
      <c r="E7" s="193"/>
      <c r="F7" s="194" t="s">
        <v>122</v>
      </c>
      <c r="G7" s="194">
        <f t="shared" ref="G7" si="3">+G6-F6</f>
        <v>364</v>
      </c>
      <c r="H7" s="194">
        <f t="shared" ref="H7" si="4">+H6-G6</f>
        <v>371</v>
      </c>
      <c r="I7" s="194">
        <f t="shared" ref="I7" si="5">+I6-H6</f>
        <v>364</v>
      </c>
      <c r="J7" s="194">
        <f t="shared" ref="J7" si="6">+J6-I6</f>
        <v>364</v>
      </c>
      <c r="K7" s="194">
        <f t="shared" ref="K7" si="7">+K6-J6</f>
        <v>364</v>
      </c>
      <c r="L7" s="216"/>
      <c r="M7" s="216">
        <f>+M6-K6</f>
        <v>182</v>
      </c>
      <c r="N7" s="216"/>
      <c r="O7" s="194">
        <f>+O6-K6</f>
        <v>364</v>
      </c>
      <c r="P7" s="194"/>
      <c r="Q7" s="216">
        <f>+Q6-O6</f>
        <v>182</v>
      </c>
      <c r="R7" s="216"/>
      <c r="S7" s="194">
        <f>+S6-O6</f>
        <v>364</v>
      </c>
      <c r="T7" s="216"/>
      <c r="U7" s="216">
        <f>+U6-S6</f>
        <v>182</v>
      </c>
      <c r="V7" s="216"/>
      <c r="W7" s="194">
        <f>+W6-S6</f>
        <v>371</v>
      </c>
      <c r="X7" s="216"/>
      <c r="Y7" s="216">
        <f>+Y6-W6</f>
        <v>182</v>
      </c>
      <c r="Z7" s="216"/>
      <c r="AA7" s="194">
        <v>364</v>
      </c>
      <c r="AB7" s="194">
        <v>364</v>
      </c>
      <c r="AC7" s="194">
        <v>364</v>
      </c>
      <c r="AD7" s="194">
        <v>364</v>
      </c>
      <c r="AE7" s="194">
        <v>364</v>
      </c>
      <c r="AF7" s="194">
        <v>364</v>
      </c>
      <c r="AG7" s="57"/>
      <c r="AH7" s="20"/>
      <c r="AI7" s="54"/>
    </row>
    <row r="8" s="2" customFormat="1" ht="27.6" customHeight="1" spans="2:35">
      <c r="B8" s="195"/>
      <c r="C8" s="196" t="s">
        <v>123</v>
      </c>
      <c r="D8" s="196"/>
      <c r="E8" s="196"/>
      <c r="F8" s="197"/>
      <c r="G8" s="197"/>
      <c r="H8" s="197"/>
      <c r="I8" s="217"/>
      <c r="J8" s="217"/>
      <c r="K8" s="217"/>
      <c r="L8" s="217"/>
      <c r="M8" s="217"/>
      <c r="N8" s="217"/>
      <c r="O8" s="217"/>
      <c r="P8" s="217"/>
      <c r="Q8" s="217"/>
      <c r="R8" s="217"/>
      <c r="S8" s="217"/>
      <c r="T8" s="217"/>
      <c r="U8" s="217"/>
      <c r="V8" s="217"/>
      <c r="W8" s="217"/>
      <c r="X8" s="217"/>
      <c r="Y8" s="217"/>
      <c r="Z8" s="217"/>
      <c r="AA8" s="217"/>
      <c r="AB8" s="230"/>
      <c r="AC8" s="230"/>
      <c r="AD8" s="230"/>
      <c r="AE8" s="230"/>
      <c r="AF8" s="230"/>
      <c r="AG8" s="28"/>
      <c r="AH8" s="243"/>
      <c r="AI8" s="244"/>
    </row>
    <row r="9" s="2" customFormat="1" ht="18.5" spans="3:35">
      <c r="C9" s="198"/>
      <c r="D9" s="198"/>
      <c r="E9" s="199"/>
      <c r="F9" s="199"/>
      <c r="G9" s="199"/>
      <c r="H9" s="199"/>
      <c r="I9" s="207"/>
      <c r="J9" s="207"/>
      <c r="K9" s="207"/>
      <c r="L9" s="28"/>
      <c r="M9" s="28"/>
      <c r="N9" s="28"/>
      <c r="O9" s="207"/>
      <c r="P9" s="28"/>
      <c r="Q9" s="28"/>
      <c r="R9" s="28"/>
      <c r="S9" s="207"/>
      <c r="T9" s="28"/>
      <c r="U9" s="28"/>
      <c r="V9" s="28"/>
      <c r="W9" s="202"/>
      <c r="X9" s="16"/>
      <c r="Y9" s="16"/>
      <c r="Z9" s="16"/>
      <c r="AA9" s="207"/>
      <c r="AB9" s="207"/>
      <c r="AC9" s="207"/>
      <c r="AD9" s="207"/>
      <c r="AE9" s="207"/>
      <c r="AF9" s="207"/>
      <c r="AG9" s="28"/>
      <c r="AH9" s="243"/>
      <c r="AI9" s="198"/>
    </row>
    <row r="10" s="2" customFormat="1" ht="26" spans="3:35">
      <c r="C10" s="107" t="s">
        <v>16</v>
      </c>
      <c r="D10" s="200"/>
      <c r="E10" s="200"/>
      <c r="F10" s="200"/>
      <c r="G10" s="200"/>
      <c r="H10" s="200"/>
      <c r="I10" s="218"/>
      <c r="J10" s="218"/>
      <c r="K10" s="218"/>
      <c r="L10" s="218"/>
      <c r="M10" s="218"/>
      <c r="N10" s="218"/>
      <c r="O10" s="218"/>
      <c r="P10" s="218"/>
      <c r="Q10" s="218"/>
      <c r="R10" s="218"/>
      <c r="S10" s="218"/>
      <c r="T10" s="218"/>
      <c r="U10" s="218"/>
      <c r="V10" s="218"/>
      <c r="W10" s="227"/>
      <c r="X10" s="227"/>
      <c r="Y10" s="227"/>
      <c r="Z10" s="227"/>
      <c r="AA10" s="218"/>
      <c r="AB10" s="218"/>
      <c r="AC10" s="218"/>
      <c r="AD10" s="218"/>
      <c r="AE10" s="218"/>
      <c r="AF10" s="218"/>
      <c r="AG10" s="28"/>
      <c r="AH10" s="243"/>
      <c r="AI10" s="198"/>
    </row>
    <row r="11" s="8" customFormat="1" ht="18.5" spans="3:34">
      <c r="C11" s="8" t="s">
        <v>124</v>
      </c>
      <c r="E11" s="201">
        <v>1382.408</v>
      </c>
      <c r="F11" s="201">
        <v>1666.477</v>
      </c>
      <c r="G11" s="201">
        <v>2180.553</v>
      </c>
      <c r="H11" s="201">
        <v>2745</v>
      </c>
      <c r="I11" s="219">
        <v>4296.4</v>
      </c>
      <c r="J11" s="219">
        <v>5696.8</v>
      </c>
      <c r="K11" s="219">
        <v>5808</v>
      </c>
      <c r="L11" s="109"/>
      <c r="M11" s="220">
        <v>3650.6</v>
      </c>
      <c r="N11" s="220">
        <f>O11-M11</f>
        <v>4399</v>
      </c>
      <c r="O11" s="219">
        <v>8049.6</v>
      </c>
      <c r="P11" s="220"/>
      <c r="Q11" s="109">
        <v>4143.4</v>
      </c>
      <c r="R11" s="220">
        <f>S11-Q11</f>
        <v>5417.2</v>
      </c>
      <c r="S11" s="219">
        <v>9560.6</v>
      </c>
      <c r="T11" s="220"/>
      <c r="U11" s="109">
        <v>4511.9</v>
      </c>
      <c r="V11" s="220">
        <f>W11-U11</f>
        <v>4224.7</v>
      </c>
      <c r="W11" s="219">
        <f>7414.7+1321.9</f>
        <v>8736.6</v>
      </c>
      <c r="X11" s="220"/>
      <c r="Y11" s="220">
        <f>3572.7+714.8</f>
        <v>4287.5</v>
      </c>
      <c r="Z11" s="220">
        <f>AA11-Y11</f>
        <v>5769.736992</v>
      </c>
      <c r="AA11" s="219">
        <f>AA12*AA28</f>
        <v>10057.236992</v>
      </c>
      <c r="AB11" s="201">
        <f t="shared" ref="AB11:AF11" si="8">AB12*AB28</f>
        <v>10941.607746988</v>
      </c>
      <c r="AC11" s="201">
        <f t="shared" si="8"/>
        <v>11649.9731290058</v>
      </c>
      <c r="AD11" s="201">
        <f t="shared" si="8"/>
        <v>12319.2371307035</v>
      </c>
      <c r="AE11" s="201">
        <f t="shared" si="8"/>
        <v>12931.3054459141</v>
      </c>
      <c r="AF11" s="201">
        <f t="shared" si="8"/>
        <v>13468.4028518828</v>
      </c>
      <c r="AG11" s="245"/>
      <c r="AH11" s="74"/>
    </row>
    <row r="12" s="2" customFormat="1" ht="18.5" spans="3:34">
      <c r="C12" s="2" t="s">
        <v>125</v>
      </c>
      <c r="E12" s="202">
        <f>E11/E28</f>
        <v>0.908085752647911</v>
      </c>
      <c r="F12" s="202">
        <f t="shared" ref="F12:K12" si="9">F11/F28</f>
        <v>0.914747034510015</v>
      </c>
      <c r="G12" s="202">
        <f t="shared" si="9"/>
        <v>0.916701769962845</v>
      </c>
      <c r="H12" s="202">
        <f t="shared" si="9"/>
        <v>0.86828620231543</v>
      </c>
      <c r="I12" s="202">
        <f t="shared" si="9"/>
        <v>0.910678706176608</v>
      </c>
      <c r="J12" s="202">
        <f t="shared" si="9"/>
        <v>0.932251096419454</v>
      </c>
      <c r="K12" s="202">
        <f t="shared" si="9"/>
        <v>0.941741118479724</v>
      </c>
      <c r="L12" s="16"/>
      <c r="M12" s="16">
        <f>M11/M28</f>
        <v>0.939471923413454</v>
      </c>
      <c r="N12" s="16">
        <f>N11/N28</f>
        <v>0.940519969212349</v>
      </c>
      <c r="O12" s="202">
        <f>O11/O28</f>
        <v>0.940044376970688</v>
      </c>
      <c r="P12" s="16"/>
      <c r="Q12" s="16">
        <f>Q11/Q28</f>
        <v>0.937823951472352</v>
      </c>
      <c r="R12" s="16">
        <f>R11/R28</f>
        <v>0.949236888678617</v>
      </c>
      <c r="S12" s="202">
        <f>S11/S28</f>
        <v>0.944256790123457</v>
      </c>
      <c r="T12" s="16"/>
      <c r="U12" s="16">
        <f>U11/U28</f>
        <v>0.943142624218734</v>
      </c>
      <c r="V12" s="16">
        <f>V11/V28</f>
        <v>0.768308873006347</v>
      </c>
      <c r="W12" s="202">
        <f>W11/W28</f>
        <v>0.840267759247504</v>
      </c>
      <c r="X12" s="16"/>
      <c r="Y12" s="16">
        <f>Y11/Y28</f>
        <v>0.852013036047852</v>
      </c>
      <c r="Z12" s="16">
        <f t="shared" ref="Z12" si="10">Z11/Z28</f>
        <v>0.848510259836097</v>
      </c>
      <c r="AA12" s="207">
        <v>0.85</v>
      </c>
      <c r="AB12" s="202">
        <f>AA12+1%</f>
        <v>0.86</v>
      </c>
      <c r="AC12" s="202">
        <f t="shared" ref="AC12:AF12" si="11">AB12+1%</f>
        <v>0.87</v>
      </c>
      <c r="AD12" s="202">
        <f t="shared" si="11"/>
        <v>0.88</v>
      </c>
      <c r="AE12" s="202">
        <f t="shared" si="11"/>
        <v>0.89</v>
      </c>
      <c r="AF12" s="202">
        <f t="shared" si="11"/>
        <v>0.9</v>
      </c>
      <c r="AG12" s="246"/>
      <c r="AH12" s="29"/>
    </row>
    <row r="13" s="2" customFormat="1" ht="18.5" spans="3:34">
      <c r="C13" s="88" t="s">
        <v>18</v>
      </c>
      <c r="E13" s="193"/>
      <c r="F13" s="202">
        <f>F11/E11-1</f>
        <v>0.205488538839474</v>
      </c>
      <c r="G13" s="202">
        <f t="shared" ref="G13:K13" si="12">G11/F11-1</f>
        <v>0.308480705104241</v>
      </c>
      <c r="H13" s="202">
        <f t="shared" si="12"/>
        <v>0.258854978530676</v>
      </c>
      <c r="I13" s="202">
        <f t="shared" si="12"/>
        <v>0.565173041894353</v>
      </c>
      <c r="J13" s="202">
        <f t="shared" si="12"/>
        <v>0.325947304720231</v>
      </c>
      <c r="K13" s="202">
        <f t="shared" si="12"/>
        <v>0.0195197303749473</v>
      </c>
      <c r="L13" s="110"/>
      <c r="M13" s="65"/>
      <c r="N13" s="65"/>
      <c r="O13" s="207">
        <f>O11/K11-1</f>
        <v>0.385950413223141</v>
      </c>
      <c r="P13" s="65"/>
      <c r="Q13" s="16">
        <f>Q11/M11-1</f>
        <v>0.13499150824522</v>
      </c>
      <c r="R13" s="16">
        <f>R11/N11-1</f>
        <v>0.231461695839964</v>
      </c>
      <c r="S13" s="207">
        <f>S11/O11-1</f>
        <v>0.187711190618167</v>
      </c>
      <c r="T13" s="65"/>
      <c r="U13" s="16">
        <f>U11/Q11-1</f>
        <v>0.0889366220977941</v>
      </c>
      <c r="V13" s="16">
        <f>V11/R11-1</f>
        <v>-0.220132171601565</v>
      </c>
      <c r="W13" s="207">
        <f>W11/S11-1</f>
        <v>-0.086187059389578</v>
      </c>
      <c r="X13" s="65"/>
      <c r="Y13" s="16">
        <f>Y11/U11-1</f>
        <v>-0.0497351448392029</v>
      </c>
      <c r="Z13" s="16">
        <f>Z11/V11-1</f>
        <v>0.365715196818709</v>
      </c>
      <c r="AA13" s="207">
        <f>AA11/W11-1</f>
        <v>0.151161434883135</v>
      </c>
      <c r="AB13" s="202">
        <f>AB11/AA11-1</f>
        <v>0.087933769055206</v>
      </c>
      <c r="AC13" s="202">
        <f t="shared" ref="AC13:AF13" si="13">AC11/AB11-1</f>
        <v>0.0647405206253016</v>
      </c>
      <c r="AD13" s="202">
        <f t="shared" si="13"/>
        <v>0.0574476862982032</v>
      </c>
      <c r="AE13" s="202">
        <f t="shared" si="13"/>
        <v>0.0496839462311478</v>
      </c>
      <c r="AF13" s="202">
        <f t="shared" si="13"/>
        <v>0.0415346623908268</v>
      </c>
      <c r="AG13" s="246"/>
      <c r="AH13" s="29"/>
    </row>
    <row r="14" s="2" customFormat="1" ht="18.5" spans="3:34">
      <c r="C14" s="203" t="s">
        <v>126</v>
      </c>
      <c r="E14" s="193"/>
      <c r="F14" s="204"/>
      <c r="G14" s="204">
        <f t="shared" ref="G14:K14" si="14">(G13-F13)*10000</f>
        <v>1029.92166264766</v>
      </c>
      <c r="H14" s="204">
        <f t="shared" si="14"/>
        <v>-496.257265735651</v>
      </c>
      <c r="I14" s="204">
        <f t="shared" si="14"/>
        <v>3063.18063363678</v>
      </c>
      <c r="J14" s="204">
        <f t="shared" si="14"/>
        <v>-2392.25737174122</v>
      </c>
      <c r="K14" s="204">
        <f t="shared" si="14"/>
        <v>-3064.27574345284</v>
      </c>
      <c r="L14" s="110"/>
      <c r="M14" s="65"/>
      <c r="N14" s="65"/>
      <c r="O14" s="221">
        <f>(O13-K13)*10000</f>
        <v>3664.30682848193</v>
      </c>
      <c r="P14" s="65"/>
      <c r="Q14" s="110"/>
      <c r="R14" s="110"/>
      <c r="S14" s="221">
        <f>(S13-O13)*10000</f>
        <v>-1982.39222604973</v>
      </c>
      <c r="T14" s="65"/>
      <c r="U14" s="110">
        <f>(U13-Q13)*10000</f>
        <v>-460.548861474259</v>
      </c>
      <c r="V14" s="110">
        <f>(V13-R13)*10000</f>
        <v>-4515.93867441529</v>
      </c>
      <c r="W14" s="221">
        <f>(W13-S13)*10000</f>
        <v>-2738.98250007745</v>
      </c>
      <c r="X14" s="65"/>
      <c r="Y14" s="110">
        <f>(Y13-U13)*10000</f>
        <v>-1386.71766936997</v>
      </c>
      <c r="Z14" s="110">
        <f>(Z13-V13)*10000</f>
        <v>5858.47368420275</v>
      </c>
      <c r="AA14" s="221">
        <f>(AA13-W13)*10000</f>
        <v>2373.48494272713</v>
      </c>
      <c r="AB14" s="204">
        <f>(AB13-AA13)*10000</f>
        <v>-632.276658279294</v>
      </c>
      <c r="AC14" s="204">
        <f t="shared" ref="AC14:AF14" si="15">(AC13-AB13)*10000</f>
        <v>-231.932484299044</v>
      </c>
      <c r="AD14" s="204">
        <f t="shared" si="15"/>
        <v>-72.9283432709837</v>
      </c>
      <c r="AE14" s="204">
        <f t="shared" si="15"/>
        <v>-77.6374006705538</v>
      </c>
      <c r="AF14" s="204">
        <f t="shared" si="15"/>
        <v>-81.4928384032099</v>
      </c>
      <c r="AG14" s="246"/>
      <c r="AH14" s="29"/>
    </row>
    <row r="15" s="2" customFormat="1" ht="18.5" spans="3:34">
      <c r="C15" s="88" t="s">
        <v>127</v>
      </c>
      <c r="E15" s="193"/>
      <c r="F15" s="202"/>
      <c r="G15" s="202">
        <f>G11/E11-1</f>
        <v>0.577358493295757</v>
      </c>
      <c r="H15" s="202">
        <f t="shared" ref="H15:K15" si="16">H11/F11-1</f>
        <v>0.647187449931802</v>
      </c>
      <c r="I15" s="202">
        <f t="shared" si="16"/>
        <v>0.970325876050708</v>
      </c>
      <c r="J15" s="202">
        <f t="shared" si="16"/>
        <v>1.07533697632058</v>
      </c>
      <c r="K15" s="202">
        <f t="shared" si="16"/>
        <v>0.351829438599758</v>
      </c>
      <c r="L15" s="110"/>
      <c r="M15" s="65"/>
      <c r="O15" s="207">
        <f>O11/J11-1</f>
        <v>0.413003791602303</v>
      </c>
      <c r="P15" s="65"/>
      <c r="S15" s="207">
        <f>S11/K11-1</f>
        <v>0.646108815426997</v>
      </c>
      <c r="T15" s="65"/>
      <c r="U15" s="16">
        <f>U11/M11-1</f>
        <v>0.23593381909823</v>
      </c>
      <c r="V15" s="16">
        <f>V11/N11-1</f>
        <v>-0.0396226415094338</v>
      </c>
      <c r="W15" s="207">
        <f>W11/O11-1</f>
        <v>0.0853458556946929</v>
      </c>
      <c r="X15" s="65"/>
      <c r="Y15" s="16">
        <f>Y11/Q11-1</f>
        <v>0.0347782014770479</v>
      </c>
      <c r="Z15" s="16">
        <f>Z11/R11-1</f>
        <v>0.0650773447537476</v>
      </c>
      <c r="AA15" s="207">
        <f>AA11/S11-1</f>
        <v>0.0519462159278707</v>
      </c>
      <c r="AB15" s="202">
        <f>AB11/W11-1</f>
        <v>0.252387398643409</v>
      </c>
      <c r="AC15" s="202">
        <f>AC11/AA11-1</f>
        <v>0.158367167669687</v>
      </c>
      <c r="AD15" s="202">
        <f t="shared" ref="AD15:AF15" si="17">AD11/AB11-1</f>
        <v>0.125907400043169</v>
      </c>
      <c r="AE15" s="202">
        <f t="shared" si="17"/>
        <v>0.109985860286495</v>
      </c>
      <c r="AF15" s="202">
        <f t="shared" si="17"/>
        <v>0.0932822145549295</v>
      </c>
      <c r="AG15" s="246"/>
      <c r="AH15" s="29"/>
    </row>
    <row r="16" s="2" customFormat="1" ht="18.5" spans="3:34">
      <c r="C16" s="205" t="s">
        <v>128</v>
      </c>
      <c r="E16" s="193"/>
      <c r="F16" s="204"/>
      <c r="G16" s="204"/>
      <c r="H16" s="204"/>
      <c r="I16" s="221"/>
      <c r="J16" s="221"/>
      <c r="K16" s="221"/>
      <c r="L16" s="110"/>
      <c r="M16" s="16"/>
      <c r="N16" s="28">
        <f>N11/M11-1</f>
        <v>0.205007396044486</v>
      </c>
      <c r="O16" s="221"/>
      <c r="P16" s="65"/>
      <c r="Q16" s="28">
        <f>Q11/N11-1</f>
        <v>-0.0581041145714936</v>
      </c>
      <c r="R16" s="28">
        <f>R11/Q11-1</f>
        <v>0.307428681758942</v>
      </c>
      <c r="S16" s="221"/>
      <c r="T16" s="65"/>
      <c r="U16" s="28">
        <f>U11/R11-1</f>
        <v>-0.1671158532083</v>
      </c>
      <c r="V16" s="28">
        <f>V11/U11-1</f>
        <v>-0.0636538930384093</v>
      </c>
      <c r="W16" s="221"/>
      <c r="X16" s="65"/>
      <c r="Y16" s="28">
        <f>Y11/V11-1</f>
        <v>0.0148649608256206</v>
      </c>
      <c r="Z16" s="16">
        <f>Z11/Y11-1</f>
        <v>0.345711251778426</v>
      </c>
      <c r="AA16" s="221"/>
      <c r="AB16" s="204"/>
      <c r="AC16" s="204"/>
      <c r="AD16" s="204"/>
      <c r="AE16" s="204"/>
      <c r="AF16" s="204"/>
      <c r="AG16" s="246"/>
      <c r="AH16" s="29"/>
    </row>
    <row r="17" s="2" customFormat="1" ht="18.5" spans="3:34">
      <c r="C17" s="205"/>
      <c r="E17" s="193"/>
      <c r="F17" s="204"/>
      <c r="G17" s="204"/>
      <c r="H17" s="204"/>
      <c r="I17" s="221"/>
      <c r="J17" s="221"/>
      <c r="K17" s="221"/>
      <c r="L17" s="110"/>
      <c r="M17" s="110"/>
      <c r="N17" s="110"/>
      <c r="O17" s="221"/>
      <c r="P17" s="65"/>
      <c r="Q17" s="110"/>
      <c r="R17" s="110"/>
      <c r="S17" s="219"/>
      <c r="T17" s="65"/>
      <c r="U17" s="110"/>
      <c r="V17" s="110"/>
      <c r="W17" s="219"/>
      <c r="X17" s="65"/>
      <c r="Y17" s="65"/>
      <c r="Z17" s="65"/>
      <c r="AA17" s="221"/>
      <c r="AB17" s="204"/>
      <c r="AC17" s="204"/>
      <c r="AD17" s="204"/>
      <c r="AE17" s="204"/>
      <c r="AF17" s="204"/>
      <c r="AG17" s="246"/>
      <c r="AH17" s="29"/>
    </row>
    <row r="18" s="8" customFormat="1" ht="18.5" spans="3:34">
      <c r="C18" s="8" t="s">
        <v>129</v>
      </c>
      <c r="E18" s="201">
        <v>139.924</v>
      </c>
      <c r="F18" s="201">
        <v>155.313</v>
      </c>
      <c r="G18" s="201">
        <v>198.141</v>
      </c>
      <c r="H18" s="201">
        <v>416.4</v>
      </c>
      <c r="I18" s="219">
        <v>421.4</v>
      </c>
      <c r="J18" s="219">
        <v>414</v>
      </c>
      <c r="K18" s="219">
        <v>359.3</v>
      </c>
      <c r="L18" s="109"/>
      <c r="M18" s="109">
        <v>235.2</v>
      </c>
      <c r="N18" s="220">
        <f>O18-M18</f>
        <v>278.2</v>
      </c>
      <c r="O18" s="219">
        <v>513.4</v>
      </c>
      <c r="P18" s="220"/>
      <c r="Q18" s="109">
        <v>274.7</v>
      </c>
      <c r="R18" s="220">
        <f>S18-Q18</f>
        <v>289.7</v>
      </c>
      <c r="S18" s="219">
        <v>564.4</v>
      </c>
      <c r="T18" s="220"/>
      <c r="U18" s="109">
        <v>272</v>
      </c>
      <c r="V18" s="220">
        <f>W18-U18</f>
        <v>1274</v>
      </c>
      <c r="W18" s="219">
        <v>1546</v>
      </c>
      <c r="X18" s="220"/>
      <c r="Y18" s="220">
        <v>710.3</v>
      </c>
      <c r="Z18" s="220">
        <f>AA18-Y18</f>
        <v>964.506528000001</v>
      </c>
      <c r="AA18" s="219">
        <f>AA19*AA28</f>
        <v>1674.806528</v>
      </c>
      <c r="AB18" s="201">
        <f t="shared" ref="AB18:AF18" si="18">AB19*AB28</f>
        <v>1653.963961754</v>
      </c>
      <c r="AC18" s="201">
        <f t="shared" si="18"/>
        <v>1606.89284538012</v>
      </c>
      <c r="AD18" s="201">
        <f t="shared" si="18"/>
        <v>1539.90464133793</v>
      </c>
      <c r="AE18" s="201">
        <f t="shared" si="18"/>
        <v>1452.95566808023</v>
      </c>
      <c r="AF18" s="201">
        <f t="shared" si="18"/>
        <v>1346.84028518828</v>
      </c>
      <c r="AG18" s="245"/>
      <c r="AH18" s="74"/>
    </row>
    <row r="19" s="2" customFormat="1" ht="18.5" spans="3:34">
      <c r="C19" s="2" t="s">
        <v>125</v>
      </c>
      <c r="E19" s="202">
        <f>E18/E28</f>
        <v>0.0919142473520888</v>
      </c>
      <c r="F19" s="202">
        <f t="shared" ref="F19:K19" si="19">F18/F28</f>
        <v>0.0852529654899851</v>
      </c>
      <c r="G19" s="202">
        <f t="shared" si="19"/>
        <v>0.0832982300371548</v>
      </c>
      <c r="H19" s="202">
        <f t="shared" si="19"/>
        <v>0.13171379768457</v>
      </c>
      <c r="I19" s="202">
        <f t="shared" si="19"/>
        <v>0.0893212938233923</v>
      </c>
      <c r="J19" s="202">
        <f t="shared" si="19"/>
        <v>0.0677489035805459</v>
      </c>
      <c r="K19" s="202">
        <f t="shared" si="19"/>
        <v>0.0582588815202763</v>
      </c>
      <c r="L19" s="110"/>
      <c r="M19" s="16">
        <f>M18/M28</f>
        <v>0.0605280765865459</v>
      </c>
      <c r="N19" s="16">
        <f>N18/N28</f>
        <v>0.0594800307876507</v>
      </c>
      <c r="O19" s="202">
        <f t="shared" ref="O19" si="20">O18/O28</f>
        <v>0.0599556230293122</v>
      </c>
      <c r="P19" s="65"/>
      <c r="Q19" s="16">
        <f>Q18/Q28</f>
        <v>0.0621760485276476</v>
      </c>
      <c r="R19" s="16">
        <f>R18/R28</f>
        <v>0.0507631113213829</v>
      </c>
      <c r="S19" s="202">
        <f t="shared" ref="S19" si="21">S18/S28</f>
        <v>0.0557432098765432</v>
      </c>
      <c r="T19" s="65"/>
      <c r="U19" s="16">
        <f>U18/U28</f>
        <v>0.0568573757812663</v>
      </c>
      <c r="V19" s="16">
        <f>V18/V28</f>
        <v>0.231691126993653</v>
      </c>
      <c r="W19" s="202">
        <f t="shared" ref="W19" si="22">W18/W28</f>
        <v>0.148691018908573</v>
      </c>
      <c r="X19" s="65"/>
      <c r="Y19" s="16">
        <f>Y18/Y28</f>
        <v>0.141150987639601</v>
      </c>
      <c r="Z19" s="16">
        <f t="shared" ref="Z19" si="23">Z18/Z28</f>
        <v>0.141842459339417</v>
      </c>
      <c r="AA19" s="207">
        <f>1-AA12-AA26</f>
        <v>0.14154837456176</v>
      </c>
      <c r="AB19" s="202">
        <f>1-AB12-AB26</f>
        <v>0.13</v>
      </c>
      <c r="AC19" s="202">
        <f t="shared" ref="AC19:AF19" si="24">1-AC12-AC26</f>
        <v>0.12</v>
      </c>
      <c r="AD19" s="202">
        <f t="shared" si="24"/>
        <v>0.11</v>
      </c>
      <c r="AE19" s="202">
        <f t="shared" si="24"/>
        <v>0.1</v>
      </c>
      <c r="AF19" s="202">
        <f t="shared" si="24"/>
        <v>0.09</v>
      </c>
      <c r="AG19" s="246"/>
      <c r="AH19" s="29"/>
    </row>
    <row r="20" s="2" customFormat="1" ht="18.5" spans="3:34">
      <c r="C20" s="88" t="s">
        <v>18</v>
      </c>
      <c r="E20" s="193"/>
      <c r="F20" s="202">
        <f>F18/E18-1</f>
        <v>0.109981132614848</v>
      </c>
      <c r="G20" s="202">
        <f t="shared" ref="G20" si="25">G18/F18-1</f>
        <v>0.275752834598521</v>
      </c>
      <c r="H20" s="202">
        <f t="shared" ref="H20" si="26">H18/G18-1</f>
        <v>1.10153375626448</v>
      </c>
      <c r="I20" s="202">
        <f t="shared" ref="I20" si="27">I18/H18-1</f>
        <v>0.0120076849183477</v>
      </c>
      <c r="J20" s="202">
        <f t="shared" ref="J20" si="28">J18/I18-1</f>
        <v>-0.0175605125771238</v>
      </c>
      <c r="K20" s="202">
        <f t="shared" ref="K20" si="29">K18/J18-1</f>
        <v>-0.132125603864734</v>
      </c>
      <c r="L20" s="110"/>
      <c r="M20" s="110"/>
      <c r="N20" s="110"/>
      <c r="O20" s="207">
        <f>O18/K18-1</f>
        <v>0.428889507375452</v>
      </c>
      <c r="P20" s="65"/>
      <c r="Q20" s="16">
        <f>Q18/M18-1</f>
        <v>0.167942176870748</v>
      </c>
      <c r="R20" s="16">
        <f>R18/N18-1</f>
        <v>0.0413371675053917</v>
      </c>
      <c r="S20" s="207">
        <f>S18/O18-1</f>
        <v>0.0993377483443709</v>
      </c>
      <c r="T20" s="65"/>
      <c r="U20" s="16">
        <f>U18/Q18-1</f>
        <v>-0.00982890425919181</v>
      </c>
      <c r="V20" s="16">
        <f>V18/R18-1</f>
        <v>3.39765274421816</v>
      </c>
      <c r="W20" s="207">
        <f>W18/S18-1</f>
        <v>1.73919206236712</v>
      </c>
      <c r="X20" s="65"/>
      <c r="Y20" s="16">
        <f>Y18/U18-1</f>
        <v>1.61139705882353</v>
      </c>
      <c r="Z20" s="28">
        <f>Z18/V18-1</f>
        <v>-0.24293051177394</v>
      </c>
      <c r="AA20" s="207">
        <f>AA18/W18-1</f>
        <v>0.0833159948253563</v>
      </c>
      <c r="AB20" s="202">
        <f>AB18/AA18-1</f>
        <v>-0.0124447605723688</v>
      </c>
      <c r="AC20" s="202">
        <f t="shared" ref="AC20:AF20" si="30">AC18/AB18-1</f>
        <v>-0.0284595779970723</v>
      </c>
      <c r="AD20" s="202">
        <f t="shared" si="30"/>
        <v>-0.0416880342922534</v>
      </c>
      <c r="AE20" s="202">
        <f t="shared" si="30"/>
        <v>-0.0564638685562717</v>
      </c>
      <c r="AF20" s="202">
        <f t="shared" si="30"/>
        <v>-0.0730341504721642</v>
      </c>
      <c r="AG20" s="246"/>
      <c r="AH20" s="29"/>
    </row>
    <row r="21" s="2" customFormat="1" ht="18.5" spans="3:34">
      <c r="C21" s="203" t="s">
        <v>126</v>
      </c>
      <c r="E21" s="193"/>
      <c r="F21" s="204"/>
      <c r="G21" s="204">
        <f t="shared" ref="G21" si="31">(G20-F20)*10000</f>
        <v>1657.71701983673</v>
      </c>
      <c r="H21" s="204">
        <f t="shared" ref="H21" si="32">(H20-G20)*10000</f>
        <v>8257.80921665958</v>
      </c>
      <c r="I21" s="204">
        <f t="shared" ref="I21" si="33">(I20-H20)*10000</f>
        <v>-10895.2607134613</v>
      </c>
      <c r="J21" s="204">
        <f t="shared" ref="J21" si="34">(J20-I20)*10000</f>
        <v>-295.681974954715</v>
      </c>
      <c r="K21" s="204">
        <f t="shared" ref="K21" si="35">(K20-J20)*10000</f>
        <v>-1145.6509128761</v>
      </c>
      <c r="L21" s="110"/>
      <c r="M21" s="110"/>
      <c r="N21" s="110"/>
      <c r="O21" s="221">
        <f>(O20-K20)*10000</f>
        <v>5610.15111240186</v>
      </c>
      <c r="P21" s="65"/>
      <c r="Q21" s="110"/>
      <c r="R21" s="110"/>
      <c r="S21" s="221">
        <f>(S20-O20)*10000</f>
        <v>-3295.51759031081</v>
      </c>
      <c r="T21" s="65"/>
      <c r="U21" s="110">
        <f>(U20-Q20)*10000</f>
        <v>-1777.7108112994</v>
      </c>
      <c r="V21" s="110">
        <f>(V20-R20)*10000</f>
        <v>33563.1557671277</v>
      </c>
      <c r="W21" s="221">
        <f>(W20-S20)*10000</f>
        <v>16398.5431402274</v>
      </c>
      <c r="X21" s="65"/>
      <c r="Y21" s="110">
        <f>(Y20-U20)*10000</f>
        <v>16212.2596308272</v>
      </c>
      <c r="Z21" s="65">
        <f>(Z20-V20)*10000</f>
        <v>-36405.832559921</v>
      </c>
      <c r="AA21" s="221">
        <f>(AA20-W20)*10000</f>
        <v>-16558.7606754176</v>
      </c>
      <c r="AB21" s="204">
        <f>(AB20-AA20)*10000</f>
        <v>-957.607553977251</v>
      </c>
      <c r="AC21" s="204">
        <f t="shared" ref="AC21:AF21" si="36">(AC20-AB20)*10000</f>
        <v>-160.148174247036</v>
      </c>
      <c r="AD21" s="204">
        <f t="shared" si="36"/>
        <v>-132.284562951811</v>
      </c>
      <c r="AE21" s="204">
        <f t="shared" si="36"/>
        <v>-147.758342640183</v>
      </c>
      <c r="AF21" s="204">
        <f t="shared" si="36"/>
        <v>-165.702819158925</v>
      </c>
      <c r="AG21" s="246"/>
      <c r="AH21" s="29"/>
    </row>
    <row r="22" s="2" customFormat="1" ht="18.5" spans="3:34">
      <c r="C22" s="88" t="s">
        <v>127</v>
      </c>
      <c r="E22" s="193"/>
      <c r="F22" s="202"/>
      <c r="G22" s="202">
        <f>G18/E18-1</f>
        <v>0.416061576284269</v>
      </c>
      <c r="H22" s="202">
        <f t="shared" ref="H22" si="37">H18/F18-1</f>
        <v>1.68103764655888</v>
      </c>
      <c r="I22" s="202">
        <f t="shared" ref="I22" si="38">I18/G18-1</f>
        <v>1.12676831145497</v>
      </c>
      <c r="J22" s="202">
        <f t="shared" ref="J22" si="39">J18/H18-1</f>
        <v>-0.00576368876080691</v>
      </c>
      <c r="K22" s="202">
        <f t="shared" ref="K22" si="40">K18/I18-1</f>
        <v>-0.147365923113431</v>
      </c>
      <c r="L22" s="110"/>
      <c r="M22" s="110"/>
      <c r="N22" s="28">
        <f>N18/M18-1</f>
        <v>0.182823129251701</v>
      </c>
      <c r="O22" s="207">
        <f>O18/J18-1</f>
        <v>0.240096618357488</v>
      </c>
      <c r="P22" s="65"/>
      <c r="Q22" s="28"/>
      <c r="R22" s="28"/>
      <c r="S22" s="207">
        <f>S18/M18-1</f>
        <v>1.39965986394558</v>
      </c>
      <c r="T22" s="65"/>
      <c r="U22" s="16">
        <f>U18/M18-1</f>
        <v>0.156462585034014</v>
      </c>
      <c r="V22" s="16">
        <f>V18/N18-1</f>
        <v>3.57943925233645</v>
      </c>
      <c r="W22" s="207">
        <f>W18/Q18-1</f>
        <v>4.62795777211503</v>
      </c>
      <c r="X22" s="65"/>
      <c r="Y22" s="16">
        <f>Y18/Q18-1</f>
        <v>1.58572988714962</v>
      </c>
      <c r="Z22" s="16">
        <f>Z18/R18-1</f>
        <v>2.32932871246117</v>
      </c>
      <c r="AA22" s="207">
        <f>AA18/S18-1</f>
        <v>1.96741057406095</v>
      </c>
      <c r="AB22" s="202">
        <f>AB18/W18-1</f>
        <v>0.0698343866455373</v>
      </c>
      <c r="AC22" s="202">
        <f>AC18/AA18-1</f>
        <v>-0.0405501659352768</v>
      </c>
      <c r="AD22" s="202">
        <f t="shared" ref="AD22:AF22" si="41">AD18/AB18-1</f>
        <v>-0.0689611884258408</v>
      </c>
      <c r="AE22" s="202">
        <f t="shared" si="41"/>
        <v>-0.0957980351598781</v>
      </c>
      <c r="AF22" s="202">
        <f t="shared" si="41"/>
        <v>-0.125374228356057</v>
      </c>
      <c r="AG22" s="246"/>
      <c r="AH22" s="29"/>
    </row>
    <row r="23" s="2" customFormat="1" ht="18.5" spans="3:34">
      <c r="C23" s="205" t="s">
        <v>128</v>
      </c>
      <c r="E23" s="193"/>
      <c r="F23" s="204"/>
      <c r="G23" s="204"/>
      <c r="H23" s="204"/>
      <c r="I23" s="221"/>
      <c r="J23" s="221"/>
      <c r="K23" s="221"/>
      <c r="L23" s="110"/>
      <c r="M23" s="110"/>
      <c r="N23" s="110"/>
      <c r="O23" s="221"/>
      <c r="P23" s="65"/>
      <c r="Q23" s="28">
        <f>Q18/N18-1</f>
        <v>-0.0125808770668584</v>
      </c>
      <c r="R23" s="28">
        <f>R18/Q18-1</f>
        <v>0.0546050236621769</v>
      </c>
      <c r="S23" s="221"/>
      <c r="T23" s="65"/>
      <c r="U23" s="28">
        <f>U18/R18-1</f>
        <v>-0.0610976872626855</v>
      </c>
      <c r="V23" s="28">
        <f>V18/U18-1</f>
        <v>3.68382352941176</v>
      </c>
      <c r="W23" s="221"/>
      <c r="X23" s="65"/>
      <c r="Y23" s="28">
        <f>Y18/V18-1</f>
        <v>-0.442464678178964</v>
      </c>
      <c r="Z23" s="28">
        <f>Z18/Y18-1</f>
        <v>0.357886143882868</v>
      </c>
      <c r="AA23" s="221"/>
      <c r="AB23" s="204"/>
      <c r="AC23" s="204"/>
      <c r="AD23" s="204"/>
      <c r="AE23" s="204"/>
      <c r="AF23" s="204"/>
      <c r="AG23" s="246"/>
      <c r="AH23" s="29"/>
    </row>
    <row r="24" s="2" customFormat="1" ht="18.5" spans="3:34">
      <c r="C24" s="205"/>
      <c r="E24" s="193"/>
      <c r="F24" s="204"/>
      <c r="G24" s="204"/>
      <c r="H24" s="204"/>
      <c r="I24" s="221"/>
      <c r="J24" s="221"/>
      <c r="K24" s="221"/>
      <c r="L24" s="110"/>
      <c r="M24" s="110"/>
      <c r="N24" s="110"/>
      <c r="O24" s="221"/>
      <c r="P24" s="65"/>
      <c r="Q24" s="110"/>
      <c r="R24" s="110"/>
      <c r="S24" s="221"/>
      <c r="T24" s="65"/>
      <c r="U24" s="110"/>
      <c r="V24" s="110"/>
      <c r="W24" s="221"/>
      <c r="X24" s="65"/>
      <c r="Y24" s="65"/>
      <c r="Z24" s="65"/>
      <c r="AA24" s="221"/>
      <c r="AB24" s="204"/>
      <c r="AC24" s="204"/>
      <c r="AD24" s="204"/>
      <c r="AE24" s="204"/>
      <c r="AF24" s="204"/>
      <c r="AG24" s="246"/>
      <c r="AH24" s="29"/>
    </row>
    <row r="25" s="8" customFormat="1" ht="18.5" spans="3:34">
      <c r="C25" s="8" t="s">
        <v>130</v>
      </c>
      <c r="E25" s="206">
        <v>0</v>
      </c>
      <c r="F25" s="201">
        <v>0</v>
      </c>
      <c r="G25" s="201">
        <v>0</v>
      </c>
      <c r="H25" s="201">
        <v>0</v>
      </c>
      <c r="I25" s="219">
        <v>0</v>
      </c>
      <c r="J25" s="219">
        <v>0</v>
      </c>
      <c r="K25" s="219">
        <v>0</v>
      </c>
      <c r="L25" s="220"/>
      <c r="M25" s="220">
        <v>0</v>
      </c>
      <c r="N25" s="220">
        <v>0</v>
      </c>
      <c r="O25" s="219">
        <v>0</v>
      </c>
      <c r="P25" s="220"/>
      <c r="Q25" s="220">
        <v>0</v>
      </c>
      <c r="R25" s="220">
        <f>S25-Q25</f>
        <v>0</v>
      </c>
      <c r="S25" s="219">
        <v>0</v>
      </c>
      <c r="T25" s="220"/>
      <c r="U25" s="220">
        <v>0</v>
      </c>
      <c r="V25" s="220">
        <v>0</v>
      </c>
      <c r="W25" s="219">
        <v>114.8</v>
      </c>
      <c r="X25" s="220"/>
      <c r="Y25" s="220">
        <v>34.4</v>
      </c>
      <c r="Z25" s="220">
        <f>AA25-Y25</f>
        <v>65.6</v>
      </c>
      <c r="AA25" s="219">
        <v>100</v>
      </c>
      <c r="AB25" s="231">
        <f>AA25*(1+AB26)</f>
        <v>101</v>
      </c>
      <c r="AC25" s="231">
        <f t="shared" ref="AC25:AF25" si="42">AB25*(1+AC26)</f>
        <v>102.01</v>
      </c>
      <c r="AD25" s="231">
        <f t="shared" si="42"/>
        <v>103.0301</v>
      </c>
      <c r="AE25" s="231">
        <f t="shared" si="42"/>
        <v>104.060401</v>
      </c>
      <c r="AF25" s="231">
        <f t="shared" si="42"/>
        <v>105.10100501</v>
      </c>
      <c r="AG25" s="245"/>
      <c r="AH25" s="74"/>
    </row>
    <row r="26" s="8" customFormat="1" ht="18.5" spans="3:34">
      <c r="C26" s="2" t="s">
        <v>125</v>
      </c>
      <c r="E26" s="207">
        <f>E25/E28</f>
        <v>0</v>
      </c>
      <c r="F26" s="207">
        <f t="shared" ref="F26:K26" si="43">F25/F28</f>
        <v>0</v>
      </c>
      <c r="G26" s="207">
        <f t="shared" si="43"/>
        <v>0</v>
      </c>
      <c r="H26" s="207">
        <f t="shared" si="43"/>
        <v>0</v>
      </c>
      <c r="I26" s="207">
        <f t="shared" si="43"/>
        <v>0</v>
      </c>
      <c r="J26" s="207">
        <f t="shared" si="43"/>
        <v>0</v>
      </c>
      <c r="K26" s="207">
        <f t="shared" si="43"/>
        <v>0</v>
      </c>
      <c r="L26" s="220"/>
      <c r="M26" s="220"/>
      <c r="N26" s="220"/>
      <c r="O26" s="207">
        <f>O25/O28</f>
        <v>0</v>
      </c>
      <c r="P26" s="220"/>
      <c r="Q26" s="220"/>
      <c r="R26" s="220"/>
      <c r="S26" s="207">
        <f>S25/S28</f>
        <v>0</v>
      </c>
      <c r="T26" s="220"/>
      <c r="U26" s="220"/>
      <c r="V26" s="220"/>
      <c r="W26" s="207">
        <f>W25/W28</f>
        <v>0.0110412218439225</v>
      </c>
      <c r="X26" s="220"/>
      <c r="Y26" s="220"/>
      <c r="Z26" s="220"/>
      <c r="AA26" s="207">
        <f>AA25/AA28</f>
        <v>0.00845162543824044</v>
      </c>
      <c r="AB26" s="202">
        <v>0.01</v>
      </c>
      <c r="AC26" s="202">
        <v>0.01</v>
      </c>
      <c r="AD26" s="202">
        <v>0.01</v>
      </c>
      <c r="AE26" s="202">
        <v>0.01</v>
      </c>
      <c r="AF26" s="202">
        <v>0.01</v>
      </c>
      <c r="AG26" s="245"/>
      <c r="AH26" s="74"/>
    </row>
    <row r="27" s="2" customFormat="1" ht="18.5" spans="5:34">
      <c r="E27" s="193"/>
      <c r="F27" s="204"/>
      <c r="G27" s="204"/>
      <c r="H27" s="204"/>
      <c r="I27" s="221"/>
      <c r="J27" s="221"/>
      <c r="K27" s="221"/>
      <c r="L27" s="65"/>
      <c r="M27" s="65"/>
      <c r="N27" s="65"/>
      <c r="O27" s="221"/>
      <c r="P27" s="65"/>
      <c r="Q27" s="65"/>
      <c r="R27" s="65"/>
      <c r="S27" s="221"/>
      <c r="T27" s="65"/>
      <c r="U27" s="65"/>
      <c r="V27" s="65"/>
      <c r="W27" s="221"/>
      <c r="X27" s="65"/>
      <c r="Y27" s="65"/>
      <c r="Z27" s="65"/>
      <c r="AA27" s="221"/>
      <c r="AB27" s="204"/>
      <c r="AC27" s="204"/>
      <c r="AD27" s="204"/>
      <c r="AE27" s="204"/>
      <c r="AF27" s="204"/>
      <c r="AG27" s="246"/>
      <c r="AH27" s="29"/>
    </row>
    <row r="28" s="8" customFormat="1" ht="18.5" spans="3:34">
      <c r="C28" s="208" t="s">
        <v>131</v>
      </c>
      <c r="D28" s="208"/>
      <c r="E28" s="209">
        <f t="shared" ref="E28:K28" si="44">E11+E18+E25</f>
        <v>1522.332</v>
      </c>
      <c r="F28" s="209">
        <f t="shared" si="44"/>
        <v>1821.79</v>
      </c>
      <c r="G28" s="209">
        <f t="shared" si="44"/>
        <v>2378.694</v>
      </c>
      <c r="H28" s="209">
        <f t="shared" si="44"/>
        <v>3161.4</v>
      </c>
      <c r="I28" s="209">
        <f t="shared" si="44"/>
        <v>4717.8</v>
      </c>
      <c r="J28" s="209">
        <f t="shared" si="44"/>
        <v>6110.8</v>
      </c>
      <c r="K28" s="209">
        <f t="shared" si="44"/>
        <v>6167.3</v>
      </c>
      <c r="L28" s="222"/>
      <c r="M28" s="222">
        <f>M11+M18+M25</f>
        <v>3885.8</v>
      </c>
      <c r="N28" s="222">
        <f>N11+N18+N25</f>
        <v>4677.2</v>
      </c>
      <c r="O28" s="209">
        <f>O11+O18+O25</f>
        <v>8563</v>
      </c>
      <c r="P28" s="222"/>
      <c r="Q28" s="222">
        <f>Q11+Q18+Q25</f>
        <v>4418.1</v>
      </c>
      <c r="R28" s="222">
        <f>R11+R18+R25</f>
        <v>5706.9</v>
      </c>
      <c r="S28" s="209">
        <f>S11+S18+S25</f>
        <v>10125</v>
      </c>
      <c r="T28" s="222"/>
      <c r="U28" s="222">
        <f>U11+U18+U25</f>
        <v>4783.9</v>
      </c>
      <c r="V28" s="222">
        <f>V11+V18+V25</f>
        <v>5498.7</v>
      </c>
      <c r="W28" s="209">
        <f>W11+W18+W25</f>
        <v>10397.4</v>
      </c>
      <c r="X28" s="222"/>
      <c r="Y28" s="222">
        <f>Y11+Y18+Y25</f>
        <v>5032.2</v>
      </c>
      <c r="Z28" s="222">
        <f t="shared" ref="Z28" si="45">Z11+Z18+Z25</f>
        <v>6799.84352</v>
      </c>
      <c r="AA28" s="232">
        <f>AA75</f>
        <v>11832.04352</v>
      </c>
      <c r="AB28" s="209">
        <f t="shared" ref="AB28:AF28" si="46">AB75</f>
        <v>12722.7997058</v>
      </c>
      <c r="AC28" s="209">
        <f t="shared" si="46"/>
        <v>13390.773711501</v>
      </c>
      <c r="AD28" s="209">
        <f t="shared" si="46"/>
        <v>13999.1331030721</v>
      </c>
      <c r="AE28" s="209">
        <f t="shared" si="46"/>
        <v>14529.5566808024</v>
      </c>
      <c r="AF28" s="209">
        <f t="shared" si="46"/>
        <v>14964.8920576476</v>
      </c>
      <c r="AG28" s="247"/>
      <c r="AH28" s="74"/>
    </row>
    <row r="29" s="2" customFormat="1" ht="18.5" spans="3:34">
      <c r="C29" s="88" t="s">
        <v>18</v>
      </c>
      <c r="E29" s="193"/>
      <c r="F29" s="202">
        <f>F28/E28-1</f>
        <v>0.196710047479788</v>
      </c>
      <c r="G29" s="202">
        <f t="shared" ref="G29:K29" si="47">G28/F28-1</f>
        <v>0.305690557089456</v>
      </c>
      <c r="H29" s="202">
        <f t="shared" si="47"/>
        <v>0.329048629205774</v>
      </c>
      <c r="I29" s="202">
        <f t="shared" si="47"/>
        <v>0.492313531979502</v>
      </c>
      <c r="J29" s="202">
        <f t="shared" si="47"/>
        <v>0.295264742040782</v>
      </c>
      <c r="K29" s="202">
        <f t="shared" si="47"/>
        <v>0.00924592524710355</v>
      </c>
      <c r="L29" s="16"/>
      <c r="M29" s="16"/>
      <c r="N29" s="16"/>
      <c r="O29" s="207">
        <f>O28/K28-1</f>
        <v>0.388451996821948</v>
      </c>
      <c r="P29" s="16"/>
      <c r="Q29" s="16">
        <f>Q28/M28-1</f>
        <v>0.136985948839364</v>
      </c>
      <c r="R29" s="16">
        <f>R28/N28-1</f>
        <v>0.220153083041136</v>
      </c>
      <c r="S29" s="207">
        <f>S28/O28-1</f>
        <v>0.182412705827397</v>
      </c>
      <c r="T29" s="16"/>
      <c r="U29" s="16">
        <f>U28/Q28-1</f>
        <v>0.0827957719381636</v>
      </c>
      <c r="V29" s="16">
        <f>V28/R28-1</f>
        <v>-0.036482153182989</v>
      </c>
      <c r="W29" s="207">
        <f>W28/S28-1</f>
        <v>0.0269037037037037</v>
      </c>
      <c r="X29" s="16"/>
      <c r="Y29" s="16">
        <f>Y28/U28-1</f>
        <v>0.051903258847384</v>
      </c>
      <c r="Z29" s="16">
        <f>Z28/V28-1</f>
        <v>0.236627479222362</v>
      </c>
      <c r="AA29" s="207">
        <f>AA28/W28-1</f>
        <v>0.137980987554581</v>
      </c>
      <c r="AB29" s="202">
        <f>AB28/AA28-1</f>
        <v>0.0752833763917731</v>
      </c>
      <c r="AC29" s="202">
        <f t="shared" ref="AC29:AF29" si="48">AC28/AB28-1</f>
        <v>0.0525021238365049</v>
      </c>
      <c r="AD29" s="202">
        <f t="shared" si="48"/>
        <v>0.0454312353175417</v>
      </c>
      <c r="AE29" s="202">
        <f t="shared" si="48"/>
        <v>0.0378897445881012</v>
      </c>
      <c r="AF29" s="202">
        <f t="shared" si="48"/>
        <v>0.0299620550309287</v>
      </c>
      <c r="AG29" s="248"/>
      <c r="AH29" s="29"/>
    </row>
    <row r="30" s="2" customFormat="1" ht="18.5" spans="3:34">
      <c r="C30" s="203" t="s">
        <v>126</v>
      </c>
      <c r="E30" s="193"/>
      <c r="F30" s="204"/>
      <c r="G30" s="204">
        <f t="shared" ref="G30:K30" si="49">(G29-F29)*10000</f>
        <v>1089.80509609668</v>
      </c>
      <c r="H30" s="204">
        <f t="shared" si="49"/>
        <v>233.580721163185</v>
      </c>
      <c r="I30" s="204">
        <f t="shared" si="49"/>
        <v>1632.64902773728</v>
      </c>
      <c r="J30" s="204">
        <f t="shared" si="49"/>
        <v>-1970.48789938721</v>
      </c>
      <c r="K30" s="204">
        <f t="shared" si="49"/>
        <v>-2860.18816793678</v>
      </c>
      <c r="L30" s="73"/>
      <c r="M30" s="110"/>
      <c r="N30" s="110"/>
      <c r="O30" s="221">
        <f>(O29-K29)*10000</f>
        <v>3792.06071574844</v>
      </c>
      <c r="P30" s="73"/>
      <c r="Q30" s="110"/>
      <c r="R30" s="110"/>
      <c r="S30" s="221">
        <f>(S29-O29)*10000</f>
        <v>-2060.39290994551</v>
      </c>
      <c r="T30" s="73"/>
      <c r="U30" s="110">
        <f>(U29-Q29)*10000</f>
        <v>-541.901769012003</v>
      </c>
      <c r="V30" s="110">
        <f>(V29-R29)*10000</f>
        <v>-2566.35236224125</v>
      </c>
      <c r="W30" s="221">
        <f>(W29-S29)*10000</f>
        <v>-1555.09002123693</v>
      </c>
      <c r="X30" s="73"/>
      <c r="Y30" s="110">
        <f>(Y29-U29)*10000</f>
        <v>-308.925130907796</v>
      </c>
      <c r="Z30" s="110">
        <f>(Z29-V29)*10000</f>
        <v>2731.09632405351</v>
      </c>
      <c r="AA30" s="221">
        <f>(AA29-W29)*10000</f>
        <v>1110.77283850878</v>
      </c>
      <c r="AB30" s="204">
        <f>(AB29-AA29)*10000</f>
        <v>-626.976111628081</v>
      </c>
      <c r="AC30" s="204">
        <f t="shared" ref="AC30:AF30" si="50">(AC29-AB29)*10000</f>
        <v>-227.812525552682</v>
      </c>
      <c r="AD30" s="204">
        <f t="shared" si="50"/>
        <v>-70.708885189632</v>
      </c>
      <c r="AE30" s="204">
        <f t="shared" si="50"/>
        <v>-75.4149072944044</v>
      </c>
      <c r="AF30" s="204">
        <f t="shared" si="50"/>
        <v>-79.2768955717249</v>
      </c>
      <c r="AG30" s="248"/>
      <c r="AH30" s="29"/>
    </row>
    <row r="31" s="2" customFormat="1" ht="18.5" spans="3:34">
      <c r="C31" s="88" t="s">
        <v>127</v>
      </c>
      <c r="E31" s="193"/>
      <c r="F31" s="202"/>
      <c r="G31" s="202">
        <f>G28/E28-1</f>
        <v>0.562533008568433</v>
      </c>
      <c r="H31" s="202">
        <f t="shared" ref="H31:K31" si="51">H28/F28-1</f>
        <v>0.735326245066665</v>
      </c>
      <c r="I31" s="202">
        <f t="shared" si="51"/>
        <v>0.983357254022585</v>
      </c>
      <c r="J31" s="202">
        <f t="shared" si="51"/>
        <v>0.932941102043398</v>
      </c>
      <c r="K31" s="202">
        <f t="shared" si="51"/>
        <v>0.3072406630209</v>
      </c>
      <c r="L31" s="73"/>
      <c r="M31" s="110"/>
      <c r="N31" s="110"/>
      <c r="O31" s="207">
        <f>O28/J28-1</f>
        <v>0.401289520193755</v>
      </c>
      <c r="P31" s="73"/>
      <c r="Q31" s="16"/>
      <c r="R31" s="110"/>
      <c r="S31" s="207">
        <f>S28/K28-1</f>
        <v>0.641723282473692</v>
      </c>
      <c r="T31" s="73"/>
      <c r="U31" s="16">
        <f>U28/M28-1</f>
        <v>0.231123578156364</v>
      </c>
      <c r="V31" s="16">
        <f>V28/N28-1</f>
        <v>0.175639271358933</v>
      </c>
      <c r="W31" s="207">
        <f>W28/O28-1</f>
        <v>0.214223986920472</v>
      </c>
      <c r="X31" s="73"/>
      <c r="Y31" s="16">
        <f>Y28/Q28-1</f>
        <v>0.138996401167923</v>
      </c>
      <c r="Z31" s="16">
        <f>Z28/R28-1</f>
        <v>0.191512646095078</v>
      </c>
      <c r="AA31" s="207">
        <f>AA28/S28-1</f>
        <v>0.168596890864198</v>
      </c>
      <c r="AB31" s="202">
        <f>AB28/W28-1</f>
        <v>0.223652038567335</v>
      </c>
      <c r="AC31" s="202">
        <f>AC28/AA28-1</f>
        <v>0.131738037378429</v>
      </c>
      <c r="AD31" s="202">
        <f t="shared" ref="AD31:AF31" si="52">AD28/AB28-1</f>
        <v>0.100318595496734</v>
      </c>
      <c r="AE31" s="202">
        <f t="shared" si="52"/>
        <v>0.0850423578081465</v>
      </c>
      <c r="AF31" s="202">
        <f t="shared" si="52"/>
        <v>0.0689870542314865</v>
      </c>
      <c r="AG31" s="248"/>
      <c r="AH31" s="29"/>
    </row>
    <row r="32" s="2" customFormat="1" ht="18.5" spans="3:34">
      <c r="C32" s="205" t="s">
        <v>128</v>
      </c>
      <c r="E32" s="193"/>
      <c r="F32" s="204"/>
      <c r="G32" s="204"/>
      <c r="H32" s="204"/>
      <c r="I32" s="221"/>
      <c r="J32" s="223"/>
      <c r="K32" s="223"/>
      <c r="L32" s="73"/>
      <c r="M32" s="110"/>
      <c r="N32" s="110"/>
      <c r="O32" s="223"/>
      <c r="P32" s="73"/>
      <c r="Q32" s="28">
        <f>Q28/N28-1</f>
        <v>-0.0553963910031644</v>
      </c>
      <c r="R32" s="16">
        <f>R28/Q28-1</f>
        <v>0.29170910572418</v>
      </c>
      <c r="S32" s="223"/>
      <c r="T32" s="73"/>
      <c r="U32" s="28">
        <f>U28/R28-1</f>
        <v>-0.161734041248314</v>
      </c>
      <c r="V32" s="16">
        <f>V28/U28-1</f>
        <v>0.149417839001652</v>
      </c>
      <c r="W32" s="223"/>
      <c r="X32" s="73"/>
      <c r="Y32" s="28">
        <f>Y28/V28-1</f>
        <v>-0.0848382344917892</v>
      </c>
      <c r="Z32" s="28">
        <f>Z28/Y28-1</f>
        <v>0.351266547434522</v>
      </c>
      <c r="AA32" s="221"/>
      <c r="AB32" s="233"/>
      <c r="AC32" s="233"/>
      <c r="AD32" s="233"/>
      <c r="AE32" s="233"/>
      <c r="AF32" s="233"/>
      <c r="AG32" s="248"/>
      <c r="AH32" s="29"/>
    </row>
    <row r="33" s="2" customFormat="1" ht="18.5" spans="5:34">
      <c r="E33" s="193"/>
      <c r="F33" s="204"/>
      <c r="G33" s="204"/>
      <c r="H33" s="204"/>
      <c r="I33" s="221"/>
      <c r="J33" s="223"/>
      <c r="K33" s="223"/>
      <c r="L33" s="73"/>
      <c r="M33" s="110"/>
      <c r="N33" s="110"/>
      <c r="O33" s="223"/>
      <c r="P33" s="73"/>
      <c r="Q33" s="110"/>
      <c r="R33" s="110"/>
      <c r="S33" s="223"/>
      <c r="T33" s="73"/>
      <c r="U33" s="110"/>
      <c r="V33" s="110"/>
      <c r="W33" s="223"/>
      <c r="X33" s="73"/>
      <c r="Y33" s="73"/>
      <c r="Z33" s="73"/>
      <c r="AA33" s="234"/>
      <c r="AB33" s="233"/>
      <c r="AC33" s="233"/>
      <c r="AD33" s="233"/>
      <c r="AE33" s="233"/>
      <c r="AF33" s="233"/>
      <c r="AG33" s="248"/>
      <c r="AH33" s="29"/>
    </row>
    <row r="34" s="2" customFormat="1" ht="26" spans="3:34">
      <c r="C34" s="107" t="s">
        <v>132</v>
      </c>
      <c r="D34" s="210"/>
      <c r="E34" s="210"/>
      <c r="F34" s="211"/>
      <c r="G34" s="211"/>
      <c r="H34" s="211"/>
      <c r="I34" s="211"/>
      <c r="J34" s="224"/>
      <c r="K34" s="224"/>
      <c r="L34" s="224"/>
      <c r="M34" s="211"/>
      <c r="N34" s="211"/>
      <c r="O34" s="224"/>
      <c r="P34" s="224"/>
      <c r="Q34" s="211"/>
      <c r="R34" s="211"/>
      <c r="S34" s="224"/>
      <c r="T34" s="224"/>
      <c r="U34" s="211"/>
      <c r="V34" s="211"/>
      <c r="W34" s="224"/>
      <c r="X34" s="224"/>
      <c r="Y34" s="224"/>
      <c r="Z34" s="224"/>
      <c r="AA34" s="211"/>
      <c r="AB34" s="235"/>
      <c r="AC34" s="235"/>
      <c r="AD34" s="235"/>
      <c r="AE34" s="235"/>
      <c r="AF34" s="235"/>
      <c r="AG34" s="248"/>
      <c r="AH34" s="29"/>
    </row>
    <row r="35" s="8" customFormat="1" ht="18.5" spans="3:34">
      <c r="C35" s="8" t="s">
        <v>124</v>
      </c>
      <c r="E35" s="201">
        <v>109.315</v>
      </c>
      <c r="F35" s="201">
        <v>162.864</v>
      </c>
      <c r="G35" s="201">
        <v>245.056</v>
      </c>
      <c r="H35" s="201">
        <v>300</v>
      </c>
      <c r="I35" s="219">
        <v>365.8</v>
      </c>
      <c r="J35" s="219">
        <v>533.2</v>
      </c>
      <c r="K35" s="219">
        <v>407.8</v>
      </c>
      <c r="L35" s="220"/>
      <c r="M35" s="225">
        <v>384.9</v>
      </c>
      <c r="N35" s="225">
        <f>O35-M35</f>
        <v>308.1</v>
      </c>
      <c r="O35" s="201">
        <v>693</v>
      </c>
      <c r="P35" s="220"/>
      <c r="Q35" s="225">
        <v>327.5</v>
      </c>
      <c r="R35" s="225">
        <f>S35-Q35</f>
        <v>636.4</v>
      </c>
      <c r="S35" s="201">
        <f>821.3+142.6</f>
        <v>963.9</v>
      </c>
      <c r="T35" s="220"/>
      <c r="U35" s="225">
        <f>305.5+86.3</f>
        <v>391.8</v>
      </c>
      <c r="V35" s="225">
        <f>W35-U35</f>
        <v>472.1</v>
      </c>
      <c r="W35" s="201">
        <f>719.3+144.6</f>
        <v>863.9</v>
      </c>
      <c r="X35" s="220"/>
      <c r="Y35" s="220">
        <f>318.2+98.4</f>
        <v>416.6</v>
      </c>
      <c r="Z35" s="220">
        <f>AA35-Y35</f>
        <v>589.1236992</v>
      </c>
      <c r="AA35" s="219">
        <f>AA11*AA36</f>
        <v>1005.7236992</v>
      </c>
      <c r="AB35" s="219">
        <f t="shared" ref="AB35:AF35" si="53">AB11*AB36</f>
        <v>875.32861975904</v>
      </c>
      <c r="AC35" s="219">
        <f t="shared" si="53"/>
        <v>582.498656450292</v>
      </c>
      <c r="AD35" s="219">
        <f t="shared" si="53"/>
        <v>615.961856535173</v>
      </c>
      <c r="AE35" s="219">
        <f t="shared" si="53"/>
        <v>646.565272295705</v>
      </c>
      <c r="AF35" s="219">
        <f t="shared" si="53"/>
        <v>673.42014259414</v>
      </c>
      <c r="AG35" s="249"/>
      <c r="AH35" s="74"/>
    </row>
    <row r="36" s="8" customFormat="1" ht="18.5" spans="3:34">
      <c r="C36" s="2" t="s">
        <v>133</v>
      </c>
      <c r="E36" s="202">
        <f>E35/E11</f>
        <v>0.0790757865984572</v>
      </c>
      <c r="F36" s="202">
        <f t="shared" ref="F36:K36" si="54">F35/F11</f>
        <v>0.0977295216195603</v>
      </c>
      <c r="G36" s="202">
        <f t="shared" si="54"/>
        <v>0.11238250113618</v>
      </c>
      <c r="H36" s="202">
        <f t="shared" si="54"/>
        <v>0.109289617486339</v>
      </c>
      <c r="I36" s="202">
        <f t="shared" si="54"/>
        <v>0.0851410483195233</v>
      </c>
      <c r="J36" s="202">
        <f t="shared" si="54"/>
        <v>0.0935964049992979</v>
      </c>
      <c r="K36" s="202">
        <f t="shared" si="54"/>
        <v>0.0702134986225895</v>
      </c>
      <c r="L36" s="220"/>
      <c r="M36" s="64">
        <f>M35/M11</f>
        <v>0.105434723059223</v>
      </c>
      <c r="N36" s="64">
        <f>N35/N11</f>
        <v>0.0700386451466242</v>
      </c>
      <c r="O36" s="202">
        <f t="shared" ref="O36" si="55">O35/O11</f>
        <v>0.0860912343470483</v>
      </c>
      <c r="P36" s="220"/>
      <c r="Q36" s="64">
        <f>Q35/Q11</f>
        <v>0.0790413669932905</v>
      </c>
      <c r="R36" s="64">
        <f>R35/R11</f>
        <v>0.117477663737724</v>
      </c>
      <c r="S36" s="202">
        <f t="shared" ref="S36" si="56">S35/S11</f>
        <v>0.100820032215551</v>
      </c>
      <c r="T36" s="220"/>
      <c r="U36" s="64">
        <f>U35/U11</f>
        <v>0.0868370309625657</v>
      </c>
      <c r="V36" s="64">
        <f>V35/V11</f>
        <v>0.111747579709802</v>
      </c>
      <c r="W36" s="202">
        <f t="shared" ref="W36" si="57">W35/W11</f>
        <v>0.0988828606093904</v>
      </c>
      <c r="X36" s="220"/>
      <c r="Y36" s="64">
        <f>Y35/Y11</f>
        <v>0.0971661807580175</v>
      </c>
      <c r="Z36" s="64">
        <f>Z35/Z11</f>
        <v>0.102105815224653</v>
      </c>
      <c r="AA36" s="207">
        <v>0.1</v>
      </c>
      <c r="AB36" s="207">
        <v>0.08</v>
      </c>
      <c r="AC36" s="207">
        <v>0.05</v>
      </c>
      <c r="AD36" s="207">
        <v>0.05</v>
      </c>
      <c r="AE36" s="207">
        <v>0.05</v>
      </c>
      <c r="AF36" s="207">
        <v>0.05</v>
      </c>
      <c r="AG36" s="249"/>
      <c r="AH36" s="74"/>
    </row>
    <row r="37" s="2" customFormat="1" ht="18.5" spans="3:35">
      <c r="C37" s="88" t="s">
        <v>18</v>
      </c>
      <c r="E37" s="193"/>
      <c r="F37" s="202">
        <f t="shared" ref="F37:K37" si="58">F35/E35-1</f>
        <v>0.489859580112519</v>
      </c>
      <c r="G37" s="202">
        <f t="shared" si="58"/>
        <v>0.504666470183712</v>
      </c>
      <c r="H37" s="202">
        <f t="shared" si="58"/>
        <v>0.224209976495168</v>
      </c>
      <c r="I37" s="202">
        <f t="shared" si="58"/>
        <v>0.219333333333333</v>
      </c>
      <c r="J37" s="202">
        <f t="shared" si="58"/>
        <v>0.457627118644068</v>
      </c>
      <c r="K37" s="202">
        <f t="shared" si="58"/>
        <v>-0.235183795948987</v>
      </c>
      <c r="L37" s="65"/>
      <c r="M37" s="73"/>
      <c r="N37" s="73"/>
      <c r="O37" s="202">
        <f>O35/K35-1</f>
        <v>0.699362432564983</v>
      </c>
      <c r="P37" s="65"/>
      <c r="Q37" s="64">
        <f>Q35/M35-1</f>
        <v>-0.149129644063393</v>
      </c>
      <c r="R37" s="64">
        <f>R35/N35-1</f>
        <v>1.06556312885427</v>
      </c>
      <c r="S37" s="202">
        <f>S35/O35-1</f>
        <v>0.390909090909091</v>
      </c>
      <c r="T37" s="65"/>
      <c r="U37" s="64">
        <f>U35/Q35-1</f>
        <v>0.196335877862595</v>
      </c>
      <c r="V37" s="64">
        <f>V35/R35-1</f>
        <v>-0.258170961659334</v>
      </c>
      <c r="W37" s="202">
        <f>W35/S35-1</f>
        <v>-0.103745201784417</v>
      </c>
      <c r="X37" s="65"/>
      <c r="Y37" s="64">
        <f>Y35/U35-1</f>
        <v>0.0632976008167432</v>
      </c>
      <c r="Z37" s="64">
        <f>Z35/V35-1</f>
        <v>0.247879049353951</v>
      </c>
      <c r="AA37" s="207">
        <f>AA35/W35-1</f>
        <v>0.164166800787128</v>
      </c>
      <c r="AB37" s="207">
        <f>AB35/AA35-1</f>
        <v>-0.129652984755835</v>
      </c>
      <c r="AC37" s="207">
        <f t="shared" ref="AC37:AF37" si="59">AC35/AB35-1</f>
        <v>-0.334537174609187</v>
      </c>
      <c r="AD37" s="207">
        <f t="shared" si="59"/>
        <v>0.0574476862982032</v>
      </c>
      <c r="AE37" s="207">
        <f t="shared" si="59"/>
        <v>0.0496839462311478</v>
      </c>
      <c r="AF37" s="207">
        <f t="shared" si="59"/>
        <v>0.0415346623908268</v>
      </c>
      <c r="AG37" s="249"/>
      <c r="AH37" s="29"/>
      <c r="AI37" s="8"/>
    </row>
    <row r="38" s="2" customFormat="1" ht="18.5" spans="3:35">
      <c r="C38" s="203" t="s">
        <v>126</v>
      </c>
      <c r="E38" s="193"/>
      <c r="F38" s="204"/>
      <c r="G38" s="204">
        <f t="shared" ref="G38" si="60">(G37-F37)*10000</f>
        <v>148.068900711926</v>
      </c>
      <c r="H38" s="204">
        <f t="shared" ref="H38" si="61">(H37-G37)*10000</f>
        <v>-2804.56493688543</v>
      </c>
      <c r="I38" s="204">
        <f t="shared" ref="I38" si="62">(I37-H37)*10000</f>
        <v>-48.76643161835</v>
      </c>
      <c r="J38" s="204">
        <f t="shared" ref="J38" si="63">(J37-I37)*10000</f>
        <v>2382.93785310735</v>
      </c>
      <c r="K38" s="204">
        <f t="shared" ref="K38" si="64">(K37-J37)*10000</f>
        <v>-6928.10914593055</v>
      </c>
      <c r="L38" s="65"/>
      <c r="M38" s="73"/>
      <c r="N38" s="73"/>
      <c r="O38" s="204">
        <f>(O37-K37)*10000</f>
        <v>9345.4622851397</v>
      </c>
      <c r="P38" s="65"/>
      <c r="Q38" s="73"/>
      <c r="R38" s="73"/>
      <c r="S38" s="204">
        <f>(S37-O37)*10000</f>
        <v>-3084.53341655892</v>
      </c>
      <c r="T38" s="65"/>
      <c r="U38" s="73">
        <f>(U37-Q37)*10000</f>
        <v>3454.65521925988</v>
      </c>
      <c r="V38" s="73">
        <f>(V37-R37)*10000</f>
        <v>-13237.340905136</v>
      </c>
      <c r="W38" s="204">
        <f>(W37-S37)*10000</f>
        <v>-4946.54292693508</v>
      </c>
      <c r="X38" s="65"/>
      <c r="Y38" s="73">
        <f>(Y37-U37)*10000</f>
        <v>-1330.38277045852</v>
      </c>
      <c r="Z38" s="73">
        <f>(Z37-V37)*10000</f>
        <v>5060.50011013285</v>
      </c>
      <c r="AA38" s="221">
        <f>(AA37-W37)*10000</f>
        <v>2679.12002571546</v>
      </c>
      <c r="AB38" s="221">
        <f>(AB37-AA37)*10000</f>
        <v>-2938.19785542964</v>
      </c>
      <c r="AC38" s="221">
        <f t="shared" ref="AC38:AF38" si="65">(AC37-AB37)*10000</f>
        <v>-2048.84189853351</v>
      </c>
      <c r="AD38" s="221">
        <f t="shared" si="65"/>
        <v>3919.8486090739</v>
      </c>
      <c r="AE38" s="221">
        <f t="shared" si="65"/>
        <v>-77.6374006705538</v>
      </c>
      <c r="AF38" s="221">
        <f t="shared" si="65"/>
        <v>-81.4928384032099</v>
      </c>
      <c r="AG38" s="249"/>
      <c r="AH38" s="29"/>
      <c r="AI38" s="8"/>
    </row>
    <row r="39" s="2" customFormat="1" ht="18.5" spans="3:35">
      <c r="C39" s="88" t="s">
        <v>127</v>
      </c>
      <c r="E39" s="193"/>
      <c r="F39" s="202"/>
      <c r="G39" s="202">
        <f>G35/E35-1</f>
        <v>1.24174175547729</v>
      </c>
      <c r="H39" s="202">
        <f>H35/F35-1</f>
        <v>0.842027704096669</v>
      </c>
      <c r="I39" s="202">
        <f>I35/G35-1</f>
        <v>0.492720031339775</v>
      </c>
      <c r="J39" s="202">
        <f>J35/H35-1</f>
        <v>0.777333333333333</v>
      </c>
      <c r="K39" s="202">
        <f>K35/I35-1</f>
        <v>0.114816839803171</v>
      </c>
      <c r="L39" s="65"/>
      <c r="M39" s="64"/>
      <c r="N39" s="64"/>
      <c r="O39" s="202">
        <f>O35/J35-1</f>
        <v>0.299699924981245</v>
      </c>
      <c r="P39" s="65"/>
      <c r="S39" s="202">
        <f>S35/K35-1</f>
        <v>1.36365865620402</v>
      </c>
      <c r="T39" s="65"/>
      <c r="U39" s="64">
        <f>U35/M35-1</f>
        <v>0.0179267342166798</v>
      </c>
      <c r="V39" s="64">
        <f>V35/N35-1</f>
        <v>0.532294709509899</v>
      </c>
      <c r="W39" s="202">
        <f>W35/O35-1</f>
        <v>0.246608946608946</v>
      </c>
      <c r="X39" s="65"/>
      <c r="Y39" s="64">
        <f>Y35/Q35-1</f>
        <v>0.27206106870229</v>
      </c>
      <c r="Z39" s="64">
        <f>Z35/R35-1</f>
        <v>-0.0742870848522937</v>
      </c>
      <c r="AA39" s="207">
        <f>AA35/S35-1</f>
        <v>0.0433900811287482</v>
      </c>
      <c r="AB39" s="207">
        <f>AB35/W35-1</f>
        <v>0.0132291003114253</v>
      </c>
      <c r="AC39" s="207">
        <f>AC35/AA35-1</f>
        <v>-0.420816416165157</v>
      </c>
      <c r="AD39" s="207">
        <f t="shared" ref="AD39:AF39" si="66">AD35/AB35-1</f>
        <v>-0.296307874973019</v>
      </c>
      <c r="AE39" s="207">
        <f t="shared" si="66"/>
        <v>0.109985860286495</v>
      </c>
      <c r="AF39" s="207">
        <f t="shared" si="66"/>
        <v>0.0932822145549295</v>
      </c>
      <c r="AG39" s="249"/>
      <c r="AH39" s="29"/>
      <c r="AI39" s="8"/>
    </row>
    <row r="40" s="2" customFormat="1" ht="18.5" spans="3:35">
      <c r="C40" s="205" t="s">
        <v>128</v>
      </c>
      <c r="E40" s="193"/>
      <c r="F40" s="204"/>
      <c r="G40" s="204"/>
      <c r="H40" s="204"/>
      <c r="I40" s="221"/>
      <c r="J40" s="221"/>
      <c r="K40" s="221"/>
      <c r="L40" s="65"/>
      <c r="M40" s="73"/>
      <c r="N40" s="73"/>
      <c r="O40" s="204"/>
      <c r="P40" s="65"/>
      <c r="Q40" s="64">
        <f>Q35/N35-1</f>
        <v>0.0629665692956831</v>
      </c>
      <c r="R40" s="64">
        <f>R35/Q35-1</f>
        <v>0.943206106870229</v>
      </c>
      <c r="S40" s="204"/>
      <c r="T40" s="65"/>
      <c r="U40" s="64">
        <f>U35/R35-1</f>
        <v>-0.384349465744815</v>
      </c>
      <c r="V40" s="64">
        <f>V35/U35-1</f>
        <v>0.204951505870342</v>
      </c>
      <c r="W40" s="204"/>
      <c r="X40" s="65"/>
      <c r="Y40" s="64">
        <f>Y35/V35-1</f>
        <v>-0.117559839017157</v>
      </c>
      <c r="Z40" s="64">
        <f>Z35/Y35-1</f>
        <v>0.414123137782046</v>
      </c>
      <c r="AA40" s="219"/>
      <c r="AB40" s="236"/>
      <c r="AC40" s="236"/>
      <c r="AD40" s="236"/>
      <c r="AE40" s="236"/>
      <c r="AF40" s="236"/>
      <c r="AG40" s="249"/>
      <c r="AH40" s="29"/>
      <c r="AI40" s="8"/>
    </row>
    <row r="41" s="2" customFormat="1" ht="18.5" spans="3:34">
      <c r="C41" s="205"/>
      <c r="E41" s="193"/>
      <c r="F41" s="204"/>
      <c r="G41" s="204"/>
      <c r="H41" s="204"/>
      <c r="I41" s="204"/>
      <c r="J41" s="204"/>
      <c r="K41" s="204"/>
      <c r="L41" s="110"/>
      <c r="M41" s="110"/>
      <c r="N41" s="110"/>
      <c r="O41" s="204"/>
      <c r="P41" s="110"/>
      <c r="Q41" s="110"/>
      <c r="R41" s="110"/>
      <c r="S41" s="204"/>
      <c r="T41" s="110"/>
      <c r="U41" s="110"/>
      <c r="V41" s="110"/>
      <c r="W41" s="204"/>
      <c r="X41" s="110"/>
      <c r="Y41" s="110"/>
      <c r="Z41" s="110"/>
      <c r="AA41" s="221"/>
      <c r="AB41" s="237"/>
      <c r="AC41" s="237"/>
      <c r="AD41" s="237"/>
      <c r="AE41" s="237"/>
      <c r="AF41" s="237"/>
      <c r="AG41" s="250"/>
      <c r="AH41" s="28"/>
    </row>
    <row r="42" s="8" customFormat="1" ht="18.5" spans="3:34">
      <c r="C42" s="8" t="s">
        <v>129</v>
      </c>
      <c r="E42" s="201">
        <v>-7.142</v>
      </c>
      <c r="F42" s="201">
        <v>-3.962</v>
      </c>
      <c r="G42" s="201">
        <v>1.156</v>
      </c>
      <c r="H42" s="201">
        <v>8.8</v>
      </c>
      <c r="I42" s="201">
        <v>-4.3</v>
      </c>
      <c r="J42" s="201">
        <v>-16.3</v>
      </c>
      <c r="K42" s="201">
        <v>-22.8</v>
      </c>
      <c r="L42" s="109"/>
      <c r="M42" s="109">
        <v>11.9</v>
      </c>
      <c r="N42" s="225">
        <f>O42-M42</f>
        <v>16.3</v>
      </c>
      <c r="O42" s="201">
        <v>28.2</v>
      </c>
      <c r="P42" s="109"/>
      <c r="Q42" s="109">
        <v>5.4</v>
      </c>
      <c r="R42" s="225">
        <f>S42-Q42</f>
        <v>67.8</v>
      </c>
      <c r="S42" s="201">
        <v>73.2</v>
      </c>
      <c r="T42" s="109"/>
      <c r="U42" s="109">
        <v>24.5</v>
      </c>
      <c r="V42" s="225">
        <f>W42-U42</f>
        <v>21.7</v>
      </c>
      <c r="W42" s="201">
        <v>46.2</v>
      </c>
      <c r="X42" s="109"/>
      <c r="Y42" s="109">
        <v>30</v>
      </c>
      <c r="Z42" s="109">
        <f>AA42-Y42</f>
        <v>53.7403264</v>
      </c>
      <c r="AA42" s="219">
        <f>AA43*AA18</f>
        <v>83.7403264</v>
      </c>
      <c r="AB42" s="219">
        <f>AB43*AB51</f>
        <v>30.53471929392</v>
      </c>
      <c r="AC42" s="219">
        <f>AC43*AC51</f>
        <v>28.120624794152</v>
      </c>
      <c r="AD42" s="219">
        <f>AD43*AD51</f>
        <v>25.1984395855298</v>
      </c>
      <c r="AE42" s="219">
        <f>AE43*AE51</f>
        <v>26.1532020254442</v>
      </c>
      <c r="AF42" s="219">
        <f>AF43*AF51</f>
        <v>26.9368057037656</v>
      </c>
      <c r="AG42" s="251"/>
      <c r="AH42" s="252"/>
    </row>
    <row r="43" s="8" customFormat="1" ht="18.5" spans="3:34">
      <c r="C43" s="2" t="s">
        <v>134</v>
      </c>
      <c r="E43" s="202">
        <f>E42/E18</f>
        <v>-0.0510419942254367</v>
      </c>
      <c r="F43" s="202">
        <f t="shared" ref="F43:K43" si="67">F42/F18</f>
        <v>-0.0255097770308989</v>
      </c>
      <c r="G43" s="202">
        <f t="shared" si="67"/>
        <v>0.0058342291600426</v>
      </c>
      <c r="H43" s="202">
        <f t="shared" si="67"/>
        <v>0.021133525456292</v>
      </c>
      <c r="I43" s="202">
        <f t="shared" si="67"/>
        <v>-0.0102040816326531</v>
      </c>
      <c r="J43" s="202">
        <f t="shared" si="67"/>
        <v>-0.0393719806763285</v>
      </c>
      <c r="K43" s="202">
        <f t="shared" si="67"/>
        <v>-0.0634567214027275</v>
      </c>
      <c r="L43" s="109"/>
      <c r="M43" s="16">
        <f>M42/M18</f>
        <v>0.0505952380952381</v>
      </c>
      <c r="N43" s="16">
        <f>N42/N18</f>
        <v>0.0585909417685119</v>
      </c>
      <c r="O43" s="202">
        <f t="shared" ref="O43" si="68">O42/O18</f>
        <v>0.0549279314374757</v>
      </c>
      <c r="P43" s="109"/>
      <c r="Q43" s="16">
        <f>Q42/Q18</f>
        <v>0.0196578085183837</v>
      </c>
      <c r="R43" s="16">
        <f>R42/R18</f>
        <v>0.234035208836728</v>
      </c>
      <c r="S43" s="202">
        <f t="shared" ref="S43" si="69">S42/S18</f>
        <v>0.129695251594614</v>
      </c>
      <c r="T43" s="109"/>
      <c r="U43" s="16">
        <f>U42/U18</f>
        <v>0.0900735294117647</v>
      </c>
      <c r="V43" s="16">
        <f>V42/V18</f>
        <v>0.017032967032967</v>
      </c>
      <c r="W43" s="202">
        <f t="shared" ref="W43" si="70">W42/W18</f>
        <v>0.0298835705045278</v>
      </c>
      <c r="X43" s="109"/>
      <c r="Y43" s="16">
        <f>Y42/Y18</f>
        <v>0.0422356750668732</v>
      </c>
      <c r="Z43" s="16">
        <f t="shared" ref="Z43" si="71">Z42/Z18</f>
        <v>0.055717949894477</v>
      </c>
      <c r="AA43" s="207">
        <v>0.05</v>
      </c>
      <c r="AB43" s="207">
        <v>0.03</v>
      </c>
      <c r="AC43" s="207">
        <v>0.03</v>
      </c>
      <c r="AD43" s="207">
        <v>0.03</v>
      </c>
      <c r="AE43" s="207">
        <v>0.03</v>
      </c>
      <c r="AF43" s="207">
        <v>0.03</v>
      </c>
      <c r="AG43" s="251"/>
      <c r="AH43" s="252"/>
    </row>
    <row r="44" s="2" customFormat="1" ht="18.5" spans="3:34">
      <c r="C44" s="88" t="s">
        <v>18</v>
      </c>
      <c r="E44" s="193"/>
      <c r="F44" s="202">
        <f t="shared" ref="F44:K44" si="72">(F42-E42)/ABS(E42)</f>
        <v>0.445253430411649</v>
      </c>
      <c r="G44" s="202">
        <f t="shared" si="72"/>
        <v>1.29177183240787</v>
      </c>
      <c r="H44" s="202">
        <f t="shared" si="72"/>
        <v>6.61245674740485</v>
      </c>
      <c r="I44" s="202">
        <f t="shared" si="72"/>
        <v>-1.48863636363636</v>
      </c>
      <c r="J44" s="202">
        <f t="shared" si="72"/>
        <v>-2.7906976744186</v>
      </c>
      <c r="K44" s="202">
        <f t="shared" si="72"/>
        <v>-0.398773006134969</v>
      </c>
      <c r="L44" s="110"/>
      <c r="M44" s="110"/>
      <c r="N44" s="110"/>
      <c r="O44" s="202">
        <f>(O42-K42)/ABS(K42)</f>
        <v>2.23684210526316</v>
      </c>
      <c r="P44" s="110"/>
      <c r="Q44" s="64">
        <f>Q42/M42-1</f>
        <v>-0.546218487394958</v>
      </c>
      <c r="R44" s="64">
        <f>R42/N42-1</f>
        <v>3.15950920245399</v>
      </c>
      <c r="S44" s="202">
        <f>(S42-O42)/ABS(O42)</f>
        <v>1.59574468085106</v>
      </c>
      <c r="T44" s="110"/>
      <c r="U44" s="64">
        <f>U42/Q42-1</f>
        <v>3.53703703703704</v>
      </c>
      <c r="V44" s="64">
        <f>V42/R42-1</f>
        <v>-0.679941002949852</v>
      </c>
      <c r="W44" s="202">
        <f>(W42-S42)/ABS(S42)</f>
        <v>-0.368852459016393</v>
      </c>
      <c r="X44" s="110"/>
      <c r="Y44" s="64">
        <f>Y42/U42-1</f>
        <v>0.224489795918367</v>
      </c>
      <c r="Z44" s="64">
        <f>Z42/V42-1</f>
        <v>1.47651273732719</v>
      </c>
      <c r="AA44" s="207">
        <f>AA42/W42-1</f>
        <v>0.812561177489178</v>
      </c>
      <c r="AB44" s="207">
        <f>AB42/AA42-1</f>
        <v>-0.635364219288259</v>
      </c>
      <c r="AC44" s="207">
        <f t="shared" ref="AC44:AF44" si="73">AC42/AB42-1</f>
        <v>-0.0790606416430581</v>
      </c>
      <c r="AD44" s="207">
        <f t="shared" si="73"/>
        <v>-0.103916084013536</v>
      </c>
      <c r="AE44" s="207">
        <f t="shared" si="73"/>
        <v>0.0378897445881012</v>
      </c>
      <c r="AF44" s="207">
        <f t="shared" si="73"/>
        <v>0.0299620550309287</v>
      </c>
      <c r="AG44" s="250"/>
      <c r="AH44" s="28"/>
    </row>
    <row r="45" s="2" customFormat="1" ht="18.5" spans="3:34">
      <c r="C45" s="203" t="s">
        <v>126</v>
      </c>
      <c r="E45" s="193"/>
      <c r="F45" s="204"/>
      <c r="G45" s="204">
        <f t="shared" ref="G45" si="74">(G44-F44)*10000</f>
        <v>8465.18401996225</v>
      </c>
      <c r="H45" s="204">
        <f t="shared" ref="H45" si="75">(H44-G44)*10000</f>
        <v>53206.8491499697</v>
      </c>
      <c r="I45" s="204">
        <f t="shared" ref="I45" si="76">(I44-H44)*10000</f>
        <v>-81010.9311104121</v>
      </c>
      <c r="J45" s="204">
        <f t="shared" ref="J45" si="77">(J44-I44)*10000</f>
        <v>-13020.6131078224</v>
      </c>
      <c r="K45" s="204">
        <f t="shared" ref="K45" si="78">(K44-J44)*10000</f>
        <v>23919.2466828364</v>
      </c>
      <c r="L45" s="110"/>
      <c r="M45" s="110"/>
      <c r="N45" s="110"/>
      <c r="O45" s="204">
        <f>(O44-K44)*10000</f>
        <v>26356.1511139813</v>
      </c>
      <c r="P45" s="110"/>
      <c r="Q45" s="73"/>
      <c r="R45" s="73"/>
      <c r="S45" s="204">
        <f>(S44-O44)*10000</f>
        <v>-6410.97424412094</v>
      </c>
      <c r="T45" s="110"/>
      <c r="U45" s="73">
        <f>(U44-Q44)*10000</f>
        <v>40832.5552443199</v>
      </c>
      <c r="V45" s="73">
        <f>(V44-R44)*10000</f>
        <v>-38394.5020540384</v>
      </c>
      <c r="W45" s="204">
        <f>(W44-S44)*10000</f>
        <v>-19645.9713986746</v>
      </c>
      <c r="X45" s="110"/>
      <c r="Y45" s="73">
        <f>(Y44-U44)*10000</f>
        <v>-33125.4724111867</v>
      </c>
      <c r="Z45" s="73">
        <f>(Z44-V44)*10000</f>
        <v>21564.5374027704</v>
      </c>
      <c r="AA45" s="221">
        <f>(AA44-W44)*10000</f>
        <v>11814.1363650557</v>
      </c>
      <c r="AB45" s="221">
        <f>(AB44-AA44)*10000</f>
        <v>-14479.2539677744</v>
      </c>
      <c r="AC45" s="221">
        <f t="shared" ref="AC45" si="79">(AC44-AB44)*10000</f>
        <v>5563.03577645201</v>
      </c>
      <c r="AD45" s="221">
        <f t="shared" ref="AD45" si="80">(AD44-AC44)*10000</f>
        <v>-248.554423704775</v>
      </c>
      <c r="AE45" s="221">
        <f t="shared" ref="AE45" si="81">(AE44-AD44)*10000</f>
        <v>1418.05828601637</v>
      </c>
      <c r="AF45" s="221">
        <f t="shared" ref="AF45" si="82">(AF44-AE44)*10000</f>
        <v>-79.2768955717249</v>
      </c>
      <c r="AG45" s="250"/>
      <c r="AH45" s="28"/>
    </row>
    <row r="46" s="2" customFormat="1" ht="18.5" spans="3:34">
      <c r="C46" s="88" t="s">
        <v>127</v>
      </c>
      <c r="E46" s="193"/>
      <c r="F46" s="202"/>
      <c r="G46" s="202">
        <f>(G42-E42)/ABS(E42)</f>
        <v>1.16185942313078</v>
      </c>
      <c r="H46" s="202">
        <f>(H42-F42)/ABS(F42)</f>
        <v>3.221100454316</v>
      </c>
      <c r="I46" s="202">
        <f>(I42-G42)/ABS(G42)</f>
        <v>-4.719723183391</v>
      </c>
      <c r="J46" s="202">
        <f>(J42-H42)/ABS(H42)</f>
        <v>-2.85227272727273</v>
      </c>
      <c r="K46" s="202">
        <f>(K42-I42)/ABS(I42)</f>
        <v>-4.30232558139535</v>
      </c>
      <c r="L46" s="110"/>
      <c r="M46" s="110"/>
      <c r="N46" s="110"/>
      <c r="O46" s="202">
        <f>(O42-J42)/ABS(J42)</f>
        <v>2.73006134969325</v>
      </c>
      <c r="P46" s="110"/>
      <c r="S46" s="202">
        <f>(S42-K42)/ABS(K42)</f>
        <v>4.21052631578947</v>
      </c>
      <c r="T46" s="110"/>
      <c r="U46" s="64">
        <f>U42/M42-1</f>
        <v>1.05882352941176</v>
      </c>
      <c r="V46" s="64">
        <f>V42/N42-1</f>
        <v>0.331288343558283</v>
      </c>
      <c r="W46" s="202">
        <f>(W42-O42)/ABS(O42)</f>
        <v>0.638297872340426</v>
      </c>
      <c r="X46" s="110"/>
      <c r="Y46" s="64">
        <f>Y42/Q42-1</f>
        <v>4.55555555555556</v>
      </c>
      <c r="Z46" s="64">
        <f>Z42/R42-1</f>
        <v>-0.207369817109144</v>
      </c>
      <c r="AA46" s="207">
        <f>AA42/S42-1</f>
        <v>0.143993530054645</v>
      </c>
      <c r="AB46" s="207">
        <f>AB42/W42-1</f>
        <v>-0.339075339958441</v>
      </c>
      <c r="AC46" s="207">
        <f>AC42/AA42-1</f>
        <v>-0.664192558077347</v>
      </c>
      <c r="AD46" s="207">
        <f t="shared" ref="AD46:AF46" si="83">AD42/AB42-1</f>
        <v>-0.17476105337745</v>
      </c>
      <c r="AE46" s="207">
        <f t="shared" si="83"/>
        <v>-0.069963693307303</v>
      </c>
      <c r="AF46" s="207">
        <f t="shared" si="83"/>
        <v>0.0689870542314865</v>
      </c>
      <c r="AG46" s="250"/>
      <c r="AH46" s="28"/>
    </row>
    <row r="47" s="2" customFormat="1" ht="18.5" spans="3:34">
      <c r="C47" s="205" t="s">
        <v>128</v>
      </c>
      <c r="E47" s="193"/>
      <c r="F47" s="204"/>
      <c r="G47" s="204"/>
      <c r="H47" s="204"/>
      <c r="I47" s="204"/>
      <c r="J47" s="204"/>
      <c r="K47" s="204"/>
      <c r="L47" s="110"/>
      <c r="M47" s="110"/>
      <c r="N47" s="110"/>
      <c r="O47" s="204"/>
      <c r="P47" s="110"/>
      <c r="Q47" s="64">
        <f>Q42/N42-1</f>
        <v>-0.668711656441718</v>
      </c>
      <c r="R47" s="64">
        <f>R42/Q42-1</f>
        <v>11.5555555555556</v>
      </c>
      <c r="S47" s="204"/>
      <c r="T47" s="110"/>
      <c r="U47" s="64">
        <f>U42/R42-1</f>
        <v>-0.638643067846608</v>
      </c>
      <c r="V47" s="64">
        <f>V42/S42-1</f>
        <v>-0.703551912568306</v>
      </c>
      <c r="W47" s="204"/>
      <c r="X47" s="110"/>
      <c r="Y47" s="64">
        <f>Y42/V42-1</f>
        <v>0.382488479262673</v>
      </c>
      <c r="Z47" s="16">
        <f>Z42/Y42-1</f>
        <v>0.791344213333335</v>
      </c>
      <c r="AA47" s="221"/>
      <c r="AB47" s="237"/>
      <c r="AC47" s="237"/>
      <c r="AD47" s="237"/>
      <c r="AE47" s="237"/>
      <c r="AF47" s="237"/>
      <c r="AG47" s="250"/>
      <c r="AH47" s="28"/>
    </row>
    <row r="48" s="2" customFormat="1" ht="18.5" spans="5:34">
      <c r="E48" s="193"/>
      <c r="F48" s="204"/>
      <c r="G48" s="204"/>
      <c r="H48" s="204"/>
      <c r="I48" s="204"/>
      <c r="J48" s="204"/>
      <c r="K48" s="204"/>
      <c r="L48" s="110"/>
      <c r="M48" s="110"/>
      <c r="N48" s="110"/>
      <c r="O48" s="204"/>
      <c r="P48" s="110"/>
      <c r="Q48" s="110"/>
      <c r="R48" s="110"/>
      <c r="S48" s="204"/>
      <c r="T48" s="110"/>
      <c r="U48" s="110"/>
      <c r="V48" s="110"/>
      <c r="W48" s="204"/>
      <c r="X48" s="110"/>
      <c r="Y48" s="109"/>
      <c r="Z48" s="109"/>
      <c r="AA48" s="221"/>
      <c r="AB48" s="237"/>
      <c r="AC48" s="237"/>
      <c r="AD48" s="237"/>
      <c r="AE48" s="237"/>
      <c r="AF48" s="237"/>
      <c r="AG48" s="250"/>
      <c r="AH48" s="28"/>
    </row>
    <row r="49" s="8" customFormat="1" ht="18.5" spans="3:34">
      <c r="C49" s="8" t="s">
        <v>135</v>
      </c>
      <c r="E49" s="206">
        <v>0</v>
      </c>
      <c r="F49" s="201">
        <v>0</v>
      </c>
      <c r="G49" s="201">
        <v>0</v>
      </c>
      <c r="H49" s="201">
        <v>0</v>
      </c>
      <c r="I49" s="201">
        <v>0</v>
      </c>
      <c r="J49" s="201">
        <v>0</v>
      </c>
      <c r="K49" s="201">
        <v>0</v>
      </c>
      <c r="L49" s="109"/>
      <c r="M49" s="109">
        <v>0</v>
      </c>
      <c r="N49" s="225">
        <f>O49-M49</f>
        <v>0</v>
      </c>
      <c r="O49" s="201">
        <v>0</v>
      </c>
      <c r="P49" s="109"/>
      <c r="Q49" s="109">
        <v>0</v>
      </c>
      <c r="R49" s="225">
        <f>S49-Q49</f>
        <v>23.2</v>
      </c>
      <c r="S49" s="201">
        <v>23.2</v>
      </c>
      <c r="T49" s="109"/>
      <c r="U49" s="109">
        <v>6.4</v>
      </c>
      <c r="V49" s="225">
        <f>W49-U49</f>
        <v>57.4</v>
      </c>
      <c r="W49" s="201">
        <v>63.8</v>
      </c>
      <c r="X49" s="109"/>
      <c r="Y49" s="109">
        <v>4.5</v>
      </c>
      <c r="Z49" s="109">
        <f>AA49-Y49</f>
        <v>89.2403264000001</v>
      </c>
      <c r="AA49" s="219">
        <f t="shared" ref="AA49:AF49" si="84">AA51-AA35-AA42</f>
        <v>93.7403264000001</v>
      </c>
      <c r="AB49" s="219">
        <f t="shared" si="84"/>
        <v>111.96063741104</v>
      </c>
      <c r="AC49" s="219">
        <f t="shared" si="84"/>
        <v>326.734878560624</v>
      </c>
      <c r="AD49" s="219">
        <f t="shared" si="84"/>
        <v>198.787690063624</v>
      </c>
      <c r="AE49" s="219">
        <f t="shared" si="84"/>
        <v>199.054926526992</v>
      </c>
      <c r="AF49" s="219">
        <f t="shared" si="84"/>
        <v>197.536575160948</v>
      </c>
      <c r="AG49" s="251"/>
      <c r="AH49" s="252"/>
    </row>
    <row r="50" s="2" customFormat="1" ht="18.5" spans="5:34">
      <c r="E50" s="193"/>
      <c r="F50" s="204"/>
      <c r="G50" s="204"/>
      <c r="H50" s="204"/>
      <c r="I50" s="204"/>
      <c r="J50" s="204"/>
      <c r="K50" s="204"/>
      <c r="L50" s="110"/>
      <c r="M50" s="110"/>
      <c r="N50" s="110"/>
      <c r="O50" s="204"/>
      <c r="P50" s="110"/>
      <c r="Q50" s="110"/>
      <c r="R50" s="110"/>
      <c r="S50" s="204"/>
      <c r="T50" s="110"/>
      <c r="U50" s="110"/>
      <c r="V50" s="110"/>
      <c r="W50" s="204"/>
      <c r="X50" s="110"/>
      <c r="Y50" s="109"/>
      <c r="Z50" s="109"/>
      <c r="AA50" s="221"/>
      <c r="AB50" s="237"/>
      <c r="AC50" s="237"/>
      <c r="AD50" s="237"/>
      <c r="AE50" s="237"/>
      <c r="AF50" s="237"/>
      <c r="AG50" s="250"/>
      <c r="AH50" s="28"/>
    </row>
    <row r="51" s="8" customFormat="1" ht="18.5" spans="3:32">
      <c r="C51" s="208" t="s">
        <v>132</v>
      </c>
      <c r="D51" s="208"/>
      <c r="E51" s="209">
        <f t="shared" ref="E51:K51" si="85">E35+E42+E49</f>
        <v>102.173</v>
      </c>
      <c r="F51" s="209">
        <f t="shared" si="85"/>
        <v>158.902</v>
      </c>
      <c r="G51" s="209">
        <f t="shared" si="85"/>
        <v>246.212</v>
      </c>
      <c r="H51" s="209">
        <f t="shared" si="85"/>
        <v>308.8</v>
      </c>
      <c r="I51" s="209">
        <f t="shared" si="85"/>
        <v>361.5</v>
      </c>
      <c r="J51" s="209">
        <f t="shared" si="85"/>
        <v>516.9</v>
      </c>
      <c r="K51" s="209">
        <f t="shared" si="85"/>
        <v>385</v>
      </c>
      <c r="L51" s="222"/>
      <c r="M51" s="222">
        <f>M35+M42+M49</f>
        <v>396.8</v>
      </c>
      <c r="N51" s="222">
        <f>N35+N42+N49</f>
        <v>324.4</v>
      </c>
      <c r="O51" s="209">
        <f>O35+O42+O49</f>
        <v>721.2</v>
      </c>
      <c r="P51" s="222"/>
      <c r="Q51" s="222">
        <f>Q35+Q42+Q49</f>
        <v>332.9</v>
      </c>
      <c r="R51" s="222">
        <f>R35+R42+R49</f>
        <v>727.4</v>
      </c>
      <c r="S51" s="209">
        <f>S35+S42+S49</f>
        <v>1060.3</v>
      </c>
      <c r="T51" s="222"/>
      <c r="U51" s="222">
        <f>U35+U42+U49</f>
        <v>422.7</v>
      </c>
      <c r="V51" s="222">
        <f>V35+V42+V49</f>
        <v>551.2</v>
      </c>
      <c r="W51" s="209">
        <f>W35+W42+W49</f>
        <v>973.9</v>
      </c>
      <c r="X51" s="222"/>
      <c r="Y51" s="222">
        <f>Y35+Y42+Y49</f>
        <v>451.1</v>
      </c>
      <c r="Z51" s="222">
        <f>Z35+Z42+Z49</f>
        <v>732.104352</v>
      </c>
      <c r="AA51" s="232">
        <f t="shared" ref="AA51:AF51" si="86">AA28*AA52</f>
        <v>1183.204352</v>
      </c>
      <c r="AB51" s="232">
        <f t="shared" si="86"/>
        <v>1017.823976464</v>
      </c>
      <c r="AC51" s="232">
        <f t="shared" si="86"/>
        <v>937.354159805068</v>
      </c>
      <c r="AD51" s="232">
        <f t="shared" si="86"/>
        <v>839.947986184327</v>
      </c>
      <c r="AE51" s="232">
        <f t="shared" si="86"/>
        <v>871.773400848141</v>
      </c>
      <c r="AF51" s="232">
        <f t="shared" si="86"/>
        <v>897.893523458853</v>
      </c>
    </row>
    <row r="52" s="8" customFormat="1" ht="18.5" spans="3:32">
      <c r="C52" s="2" t="s">
        <v>125</v>
      </c>
      <c r="E52" s="206"/>
      <c r="F52" s="202">
        <f t="shared" ref="F52:K52" si="87">F51/F28</f>
        <v>0.0872230059447028</v>
      </c>
      <c r="G52" s="202">
        <f t="shared" si="87"/>
        <v>0.10350721866705</v>
      </c>
      <c r="H52" s="202">
        <f t="shared" si="87"/>
        <v>0.0976782438160309</v>
      </c>
      <c r="I52" s="202">
        <f t="shared" si="87"/>
        <v>0.0766246979524355</v>
      </c>
      <c r="J52" s="202">
        <f t="shared" si="87"/>
        <v>0.084587942658899</v>
      </c>
      <c r="K52" s="202">
        <f t="shared" si="87"/>
        <v>0.0624260211113453</v>
      </c>
      <c r="L52" s="109"/>
      <c r="M52" s="16">
        <f>M51/M28</f>
        <v>0.102115394513356</v>
      </c>
      <c r="N52" s="16">
        <f>N51/N28</f>
        <v>0.0693577353972462</v>
      </c>
      <c r="O52" s="202">
        <f>O51/O28</f>
        <v>0.0842228191054537</v>
      </c>
      <c r="P52" s="109"/>
      <c r="Q52" s="16">
        <f>Q51/Q28</f>
        <v>0.0753491319798103</v>
      </c>
      <c r="R52" s="16">
        <f>R51/R28</f>
        <v>0.127459741716168</v>
      </c>
      <c r="S52" s="202">
        <f>S51/S28</f>
        <v>0.104720987654321</v>
      </c>
      <c r="T52" s="109"/>
      <c r="U52" s="16">
        <f>U51/U28</f>
        <v>0.0883588703777253</v>
      </c>
      <c r="V52" s="16">
        <f>V51/V28</f>
        <v>0.100241875352356</v>
      </c>
      <c r="W52" s="202">
        <f>W51/W28</f>
        <v>0.0936676476811511</v>
      </c>
      <c r="X52" s="109"/>
      <c r="Y52" s="16">
        <f>Y51/Y28</f>
        <v>0.0896427010055244</v>
      </c>
      <c r="Z52" s="16">
        <f>Z51/Z28</f>
        <v>0.10766488226482</v>
      </c>
      <c r="AA52" s="207">
        <v>0.1</v>
      </c>
      <c r="AB52" s="207">
        <v>0.08</v>
      </c>
      <c r="AC52" s="207">
        <v>0.07</v>
      </c>
      <c r="AD52" s="207">
        <v>0.06</v>
      </c>
      <c r="AE52" s="207">
        <v>0.06</v>
      </c>
      <c r="AF52" s="207">
        <v>0.06</v>
      </c>
    </row>
    <row r="53" s="8" customFormat="1" ht="18.5" spans="3:32">
      <c r="C53" s="88" t="s">
        <v>18</v>
      </c>
      <c r="E53" s="206"/>
      <c r="F53" s="202">
        <f t="shared" ref="F53:K53" si="88">F51/E51-1</f>
        <v>0.555224961584763</v>
      </c>
      <c r="G53" s="202">
        <f t="shared" si="88"/>
        <v>0.549458156599665</v>
      </c>
      <c r="H53" s="202">
        <f t="shared" si="88"/>
        <v>0.254203694377203</v>
      </c>
      <c r="I53" s="202">
        <f t="shared" si="88"/>
        <v>0.170660621761658</v>
      </c>
      <c r="J53" s="202">
        <f t="shared" si="88"/>
        <v>0.429875518672199</v>
      </c>
      <c r="K53" s="202">
        <f t="shared" si="88"/>
        <v>-0.255175082220933</v>
      </c>
      <c r="L53" s="109"/>
      <c r="M53" s="109"/>
      <c r="N53" s="109"/>
      <c r="O53" s="202">
        <f>O51/K51-1</f>
        <v>0.873246753246753</v>
      </c>
      <c r="P53" s="109"/>
      <c r="Q53" s="16">
        <f>Q51/M51-1</f>
        <v>-0.161038306451613</v>
      </c>
      <c r="R53" s="16">
        <f>R51/N51-1</f>
        <v>1.2422934648582</v>
      </c>
      <c r="S53" s="202">
        <f>S51/O51-1</f>
        <v>0.470188574597892</v>
      </c>
      <c r="T53" s="109"/>
      <c r="U53" s="16">
        <f>U51/Q51-1</f>
        <v>0.269750675878642</v>
      </c>
      <c r="V53" s="16">
        <f>V51/R51-1</f>
        <v>-0.242232609293374</v>
      </c>
      <c r="W53" s="202">
        <f>W51/S51-1</f>
        <v>-0.0814863717815713</v>
      </c>
      <c r="X53" s="109"/>
      <c r="Y53" s="16">
        <f>Y51/U51-1</f>
        <v>0.067187130352496</v>
      </c>
      <c r="Z53" s="16">
        <f>Z51/V51-1</f>
        <v>0.328200928882439</v>
      </c>
      <c r="AA53" s="207">
        <f>AA51/W51-1</f>
        <v>0.21491359687853</v>
      </c>
      <c r="AB53" s="202">
        <f>AB51/AA51-1</f>
        <v>-0.139773298886582</v>
      </c>
      <c r="AC53" s="202">
        <f t="shared" ref="AC53:AF53" si="89">AC51/AB51-1</f>
        <v>-0.0790606416430581</v>
      </c>
      <c r="AD53" s="202">
        <f t="shared" si="89"/>
        <v>-0.103916084013536</v>
      </c>
      <c r="AE53" s="202">
        <f t="shared" si="89"/>
        <v>0.0378897445881012</v>
      </c>
      <c r="AF53" s="202">
        <f t="shared" si="89"/>
        <v>0.0299620550309287</v>
      </c>
    </row>
    <row r="54" s="8" customFormat="1" ht="18.5" spans="3:32">
      <c r="C54" s="203" t="s">
        <v>126</v>
      </c>
      <c r="E54" s="206"/>
      <c r="F54" s="204"/>
      <c r="G54" s="204">
        <f t="shared" ref="G54:K54" si="90">(G53-F53)*10000</f>
        <v>-57.6680498509807</v>
      </c>
      <c r="H54" s="204">
        <f t="shared" si="90"/>
        <v>-2952.54462222462</v>
      </c>
      <c r="I54" s="204">
        <f t="shared" si="90"/>
        <v>-835.430726155453</v>
      </c>
      <c r="J54" s="204">
        <f t="shared" si="90"/>
        <v>2592.14896910541</v>
      </c>
      <c r="K54" s="204">
        <f t="shared" si="90"/>
        <v>-6850.50600893132</v>
      </c>
      <c r="L54" s="109"/>
      <c r="M54" s="109"/>
      <c r="N54" s="109"/>
      <c r="O54" s="204">
        <f>(O53-K53)*10000</f>
        <v>11284.2183546769</v>
      </c>
      <c r="P54" s="109"/>
      <c r="Q54" s="110"/>
      <c r="R54" s="110"/>
      <c r="S54" s="204">
        <f>(S53-O53)*10000</f>
        <v>-4030.58178648861</v>
      </c>
      <c r="T54" s="109"/>
      <c r="U54" s="110">
        <f>(U53-Q53)*10000</f>
        <v>4307.88982330255</v>
      </c>
      <c r="V54" s="110">
        <f>(V53-R53)*10000</f>
        <v>-14845.2607415157</v>
      </c>
      <c r="W54" s="204">
        <f>(W53-S53)*10000</f>
        <v>-5516.74946379463</v>
      </c>
      <c r="X54" s="109"/>
      <c r="Y54" s="110">
        <f>(Y53-U53)*10000</f>
        <v>-2025.63545526146</v>
      </c>
      <c r="Z54" s="110">
        <f>(Z53-V53)*10000</f>
        <v>5704.33538175813</v>
      </c>
      <c r="AA54" s="221">
        <f>(AA53-W53)*10000</f>
        <v>2963.99968660101</v>
      </c>
      <c r="AB54" s="204">
        <f>(AB53-AA53)*10000</f>
        <v>-3546.86895765112</v>
      </c>
      <c r="AC54" s="204">
        <f t="shared" ref="AC54:AF54" si="91">(AC53-AB53)*10000</f>
        <v>607.126572435234</v>
      </c>
      <c r="AD54" s="204">
        <f t="shared" si="91"/>
        <v>-248.554423704775</v>
      </c>
      <c r="AE54" s="204">
        <f t="shared" si="91"/>
        <v>1418.05828601637</v>
      </c>
      <c r="AF54" s="204">
        <f t="shared" si="91"/>
        <v>-79.2768955717249</v>
      </c>
    </row>
    <row r="55" s="8" customFormat="1" ht="18.5" spans="3:32">
      <c r="C55" s="88" t="s">
        <v>127</v>
      </c>
      <c r="E55" s="206"/>
      <c r="F55" s="202"/>
      <c r="G55" s="202">
        <f>G51/E51-1</f>
        <v>1.40975600207491</v>
      </c>
      <c r="H55" s="202">
        <f t="shared" ref="H55:K55" si="92">H51/F51-1</f>
        <v>0.943336144290191</v>
      </c>
      <c r="I55" s="202">
        <f t="shared" si="92"/>
        <v>0.468246876675385</v>
      </c>
      <c r="J55" s="202">
        <f t="shared" si="92"/>
        <v>0.67389896373057</v>
      </c>
      <c r="K55" s="202">
        <f t="shared" si="92"/>
        <v>0.0650069156293223</v>
      </c>
      <c r="L55" s="109"/>
      <c r="M55" s="109"/>
      <c r="N55" s="109"/>
      <c r="O55" s="202">
        <f>O51/K51-1</f>
        <v>0.873246753246753</v>
      </c>
      <c r="P55" s="109"/>
      <c r="Q55" s="110"/>
      <c r="R55" s="110"/>
      <c r="S55" s="202">
        <f>S51/K51-1</f>
        <v>1.75402597402597</v>
      </c>
      <c r="T55" s="109"/>
      <c r="U55" s="16">
        <f>U51/M51-1</f>
        <v>0.065272177419355</v>
      </c>
      <c r="V55" s="16">
        <f>V51/N51-1</f>
        <v>0.699136868064118</v>
      </c>
      <c r="W55" s="202">
        <f>W51/O51-1</f>
        <v>0.35038824181919</v>
      </c>
      <c r="X55" s="109"/>
      <c r="Y55" s="16">
        <f>Y51/Q51-1</f>
        <v>0.35506158005407</v>
      </c>
      <c r="Z55" s="16">
        <f>Z51/R51-1</f>
        <v>0.00646735221336314</v>
      </c>
      <c r="AA55" s="207">
        <f>AA51/S51-1</f>
        <v>0.1159146958408</v>
      </c>
      <c r="AB55" s="202">
        <f>AB51/W51-1</f>
        <v>0.0451011155806555</v>
      </c>
      <c r="AC55" s="202">
        <f>AC51/AA51-1</f>
        <v>-0.2077833738351</v>
      </c>
      <c r="AD55" s="202">
        <f t="shared" ref="AD55:AF55" si="93">AD51/AB51-1</f>
        <v>-0.17476105337745</v>
      </c>
      <c r="AE55" s="202">
        <f t="shared" si="93"/>
        <v>-0.069963693307303</v>
      </c>
      <c r="AF55" s="202">
        <f t="shared" si="93"/>
        <v>0.0689870542314865</v>
      </c>
    </row>
    <row r="56" s="8" customFormat="1" ht="18.5" spans="3:32">
      <c r="C56" s="205" t="s">
        <v>128</v>
      </c>
      <c r="E56" s="206"/>
      <c r="F56" s="201"/>
      <c r="G56" s="201"/>
      <c r="H56" s="201"/>
      <c r="I56" s="201"/>
      <c r="J56" s="201"/>
      <c r="K56" s="201"/>
      <c r="L56" s="109"/>
      <c r="M56" s="64"/>
      <c r="N56" s="64"/>
      <c r="O56" s="201"/>
      <c r="P56" s="109"/>
      <c r="Q56" s="16"/>
      <c r="R56" s="16"/>
      <c r="S56" s="201"/>
      <c r="T56" s="109"/>
      <c r="U56" s="64">
        <f>U51/R51-1</f>
        <v>-0.418889194390982</v>
      </c>
      <c r="V56" s="64">
        <f>V51/U51-1</f>
        <v>0.303998107404779</v>
      </c>
      <c r="W56" s="201"/>
      <c r="X56" s="109"/>
      <c r="Y56" s="64">
        <f>Y51/V51-1</f>
        <v>-0.181603773584906</v>
      </c>
      <c r="Z56" s="16">
        <f>Z51/Y51-1</f>
        <v>0.62293139436932</v>
      </c>
      <c r="AA56" s="238"/>
      <c r="AB56" s="239"/>
      <c r="AC56" s="206"/>
      <c r="AD56" s="206"/>
      <c r="AE56" s="206"/>
      <c r="AF56" s="206"/>
    </row>
    <row r="57" s="8" customFormat="1" ht="18.5" spans="3:32">
      <c r="C57" s="205"/>
      <c r="E57" s="206"/>
      <c r="F57" s="201"/>
      <c r="G57" s="201"/>
      <c r="H57" s="201"/>
      <c r="I57" s="201"/>
      <c r="J57" s="201"/>
      <c r="K57" s="201"/>
      <c r="L57" s="109"/>
      <c r="M57" s="109"/>
      <c r="N57" s="109"/>
      <c r="O57" s="201"/>
      <c r="P57" s="109"/>
      <c r="Q57" s="109"/>
      <c r="R57" s="109"/>
      <c r="S57" s="201"/>
      <c r="T57" s="109"/>
      <c r="U57" s="109"/>
      <c r="V57" s="109"/>
      <c r="W57" s="201"/>
      <c r="X57" s="109"/>
      <c r="Y57" s="109"/>
      <c r="Z57" s="109"/>
      <c r="AA57" s="238"/>
      <c r="AB57" s="239"/>
      <c r="AC57" s="206"/>
      <c r="AD57" s="206"/>
      <c r="AE57" s="206"/>
      <c r="AF57" s="206"/>
    </row>
    <row r="58" s="2" customFormat="1" ht="26" spans="3:32">
      <c r="C58" s="107" t="s">
        <v>136</v>
      </c>
      <c r="D58" s="108"/>
      <c r="E58" s="108"/>
      <c r="F58" s="212"/>
      <c r="G58" s="212"/>
      <c r="H58" s="212"/>
      <c r="I58" s="212"/>
      <c r="J58" s="212"/>
      <c r="K58" s="212"/>
      <c r="L58" s="212"/>
      <c r="M58" s="212"/>
      <c r="N58" s="212"/>
      <c r="O58" s="212"/>
      <c r="P58" s="212"/>
      <c r="Q58" s="212"/>
      <c r="R58" s="212"/>
      <c r="S58" s="212"/>
      <c r="T58" s="212"/>
      <c r="U58" s="212"/>
      <c r="V58" s="212"/>
      <c r="W58" s="212"/>
      <c r="X58" s="212"/>
      <c r="Y58" s="212"/>
      <c r="Z58" s="212"/>
      <c r="AA58" s="240"/>
      <c r="AB58" s="241"/>
      <c r="AC58" s="140"/>
      <c r="AD58" s="140"/>
      <c r="AE58" s="140"/>
      <c r="AF58" s="140"/>
    </row>
    <row r="59" s="8" customFormat="1" ht="18.5" spans="3:32">
      <c r="C59" s="8" t="s">
        <v>137</v>
      </c>
      <c r="E59" s="201"/>
      <c r="F59" s="201">
        <f>F60*F75</f>
        <v>1475.577</v>
      </c>
      <c r="G59" s="201">
        <f>G60*G75</f>
        <v>1879.173</v>
      </c>
      <c r="H59" s="201">
        <f t="shared" ref="H59:K59" si="94">H60*H75</f>
        <v>2529.12</v>
      </c>
      <c r="I59" s="201">
        <f t="shared" si="94"/>
        <v>3679.884</v>
      </c>
      <c r="J59" s="201">
        <f t="shared" si="94"/>
        <v>4521.992</v>
      </c>
      <c r="K59" s="201">
        <f t="shared" si="94"/>
        <v>3515.361</v>
      </c>
      <c r="L59" s="109"/>
      <c r="M59" s="109"/>
      <c r="N59" s="109"/>
      <c r="O59" s="201">
        <f t="shared" ref="O59" si="95">O60*O75</f>
        <v>5668.706</v>
      </c>
      <c r="P59" s="109"/>
      <c r="Q59" s="109"/>
      <c r="R59" s="109"/>
      <c r="S59" s="201">
        <v>7306.5</v>
      </c>
      <c r="T59" s="109"/>
      <c r="U59" s="109">
        <v>3591.5</v>
      </c>
      <c r="V59" s="109">
        <f>W59-U59</f>
        <v>4365.1</v>
      </c>
      <c r="W59" s="201">
        <v>7956.6</v>
      </c>
      <c r="X59" s="109"/>
      <c r="Y59" s="109">
        <v>3924.9</v>
      </c>
      <c r="Z59" s="109">
        <f>AA59-Y59</f>
        <v>5441.60952</v>
      </c>
      <c r="AA59" s="201">
        <f t="shared" ref="AA59:AF59" si="96">AA154/1000*AA126</f>
        <v>9366.50952</v>
      </c>
      <c r="AB59" s="201">
        <f t="shared" si="96"/>
        <v>10326.5767458</v>
      </c>
      <c r="AC59" s="201">
        <f t="shared" si="96"/>
        <v>11061.829010101</v>
      </c>
      <c r="AD59" s="201">
        <f t="shared" si="96"/>
        <v>11735.4943968161</v>
      </c>
      <c r="AE59" s="201">
        <f t="shared" si="96"/>
        <v>12329.310413295</v>
      </c>
      <c r="AF59" s="201">
        <f t="shared" si="96"/>
        <v>12826.1816229508</v>
      </c>
    </row>
    <row r="60" s="2" customFormat="1" ht="18.5" spans="3:32">
      <c r="C60" s="2" t="s">
        <v>125</v>
      </c>
      <c r="E60" s="204"/>
      <c r="F60" s="202">
        <v>0.81</v>
      </c>
      <c r="G60" s="202">
        <v>0.79</v>
      </c>
      <c r="H60" s="202">
        <v>0.8</v>
      </c>
      <c r="I60" s="202">
        <v>0.78</v>
      </c>
      <c r="J60" s="202">
        <v>0.74</v>
      </c>
      <c r="K60" s="202">
        <v>0.57</v>
      </c>
      <c r="L60" s="110"/>
      <c r="M60" s="110"/>
      <c r="N60" s="110"/>
      <c r="O60" s="202">
        <v>0.662</v>
      </c>
      <c r="P60" s="110"/>
      <c r="Q60" s="110"/>
      <c r="R60" s="110"/>
      <c r="S60" s="202">
        <f>S59/S75</f>
        <v>0.72162962962963</v>
      </c>
      <c r="T60" s="110"/>
      <c r="U60" s="16">
        <f>U59/U75</f>
        <v>0.750747298229478</v>
      </c>
      <c r="V60" s="16">
        <f>V59/V75</f>
        <v>0.758079922196558</v>
      </c>
      <c r="W60" s="202">
        <f>W59/W75</f>
        <v>0.754752418895845</v>
      </c>
      <c r="X60" s="110"/>
      <c r="Y60" s="16">
        <f>Y59/Y75</f>
        <v>0.779957076427805</v>
      </c>
      <c r="Z60" s="16">
        <f>Z59/Z75</f>
        <v>0.800255109399929</v>
      </c>
      <c r="AA60" s="202">
        <f>AA59/AA75</f>
        <v>0.791622301267533</v>
      </c>
      <c r="AB60" s="202">
        <f>AB59/AB75</f>
        <v>0.811659146146298</v>
      </c>
      <c r="AC60" s="202">
        <f>AC59/AC75</f>
        <v>0.826078406552436</v>
      </c>
      <c r="AD60" s="202">
        <f t="shared" ref="AD60:AF60" si="97">AD59/AD75</f>
        <v>0.8383015084156</v>
      </c>
      <c r="AE60" s="202">
        <f t="shared" si="97"/>
        <v>0.848567556750408</v>
      </c>
      <c r="AF60" s="202">
        <f t="shared" si="97"/>
        <v>0.857084807130046</v>
      </c>
    </row>
    <row r="61" s="2" customFormat="1" ht="18.5" spans="3:32">
      <c r="C61" s="88" t="s">
        <v>18</v>
      </c>
      <c r="E61" s="204"/>
      <c r="F61" s="202"/>
      <c r="G61" s="202">
        <f>G59/F59-1</f>
        <v>0.273517410477393</v>
      </c>
      <c r="H61" s="202">
        <f t="shared" ref="H61:K61" si="98">H59/G59-1</f>
        <v>0.345868634766464</v>
      </c>
      <c r="I61" s="202">
        <f t="shared" si="98"/>
        <v>0.455005693680015</v>
      </c>
      <c r="J61" s="202">
        <f t="shared" si="98"/>
        <v>0.228840909115613</v>
      </c>
      <c r="K61" s="202">
        <f t="shared" si="98"/>
        <v>-0.222607868390745</v>
      </c>
      <c r="L61" s="110"/>
      <c r="M61" s="110"/>
      <c r="N61" s="110"/>
      <c r="O61" s="202">
        <f>O59/K59-1</f>
        <v>0.612553020870403</v>
      </c>
      <c r="P61" s="110"/>
      <c r="Q61" s="110"/>
      <c r="R61" s="110"/>
      <c r="S61" s="202">
        <f>S59/O59-1</f>
        <v>0.288918493920835</v>
      </c>
      <c r="T61" s="110"/>
      <c r="U61" s="16"/>
      <c r="V61" s="16"/>
      <c r="W61" s="202">
        <f>W59/S59-1</f>
        <v>0.088975569698214</v>
      </c>
      <c r="X61" s="110"/>
      <c r="Y61" s="16">
        <f>Y59/U59-1</f>
        <v>0.0928302937491299</v>
      </c>
      <c r="Z61" s="16">
        <f>Z59/V59-1</f>
        <v>0.24661737875421</v>
      </c>
      <c r="AA61" s="202">
        <f>AA59/W59-1</f>
        <v>0.1772</v>
      </c>
      <c r="AB61" s="202">
        <f>AB59/AA59-1</f>
        <v>0.1025</v>
      </c>
      <c r="AC61" s="202">
        <f>AC59/AB59-1</f>
        <v>0.0712000000000002</v>
      </c>
      <c r="AD61" s="202">
        <f t="shared" ref="AD61:AF61" si="99">AD59/AC59-1</f>
        <v>0.0609000000000002</v>
      </c>
      <c r="AE61" s="202">
        <f t="shared" si="99"/>
        <v>0.0506000000000002</v>
      </c>
      <c r="AF61" s="202">
        <f t="shared" si="99"/>
        <v>0.0403</v>
      </c>
    </row>
    <row r="62" s="2" customFormat="1" ht="18.5" spans="3:32">
      <c r="C62" s="203" t="s">
        <v>126</v>
      </c>
      <c r="E62" s="204"/>
      <c r="F62" s="204"/>
      <c r="G62" s="204">
        <f>(G61-D61)*10000</f>
        <v>2735.17410477393</v>
      </c>
      <c r="H62" s="204">
        <f t="shared" ref="H62:K62" si="100">(H61-E61)*10000</f>
        <v>3458.68634766464</v>
      </c>
      <c r="I62" s="204">
        <f t="shared" si="100"/>
        <v>4550.05693680015</v>
      </c>
      <c r="J62" s="204">
        <f t="shared" si="100"/>
        <v>-446.765013617794</v>
      </c>
      <c r="K62" s="204">
        <f t="shared" si="100"/>
        <v>-5684.76503157209</v>
      </c>
      <c r="L62" s="110"/>
      <c r="M62" s="110"/>
      <c r="N62" s="110"/>
      <c r="O62" s="204">
        <f>(O61-K61)*10000</f>
        <v>8351.60889261148</v>
      </c>
      <c r="P62" s="110"/>
      <c r="Q62" s="110"/>
      <c r="R62" s="110"/>
      <c r="S62" s="204">
        <f>(S61-O61)*10000</f>
        <v>-3236.34526949568</v>
      </c>
      <c r="T62" s="110"/>
      <c r="U62" s="110"/>
      <c r="V62" s="110"/>
      <c r="W62" s="204">
        <f>(W61-S61)*10000</f>
        <v>-1999.42924222621</v>
      </c>
      <c r="X62" s="110"/>
      <c r="Y62" s="16"/>
      <c r="Z62" s="110"/>
      <c r="AA62" s="204">
        <f>(AA61-X61)*10000</f>
        <v>1772</v>
      </c>
      <c r="AB62" s="204">
        <f>(AB61-W61)*10000</f>
        <v>135.244303017858</v>
      </c>
      <c r="AC62" s="204">
        <f>(AC61-AB61)*10000</f>
        <v>-312.999999999997</v>
      </c>
      <c r="AD62" s="204">
        <f t="shared" ref="AD62:AF62" si="101">(AD61-AC61)*10000</f>
        <v>-103</v>
      </c>
      <c r="AE62" s="204">
        <f t="shared" si="101"/>
        <v>-103</v>
      </c>
      <c r="AF62" s="204">
        <f t="shared" si="101"/>
        <v>-103.000000000002</v>
      </c>
    </row>
    <row r="63" s="2" customFormat="1" ht="18.5" spans="3:32">
      <c r="C63" s="88" t="s">
        <v>127</v>
      </c>
      <c r="E63" s="204"/>
      <c r="F63" s="204"/>
      <c r="G63" s="204"/>
      <c r="H63" s="202">
        <f>H59/F59-1</f>
        <v>0.713987138590531</v>
      </c>
      <c r="I63" s="202">
        <f t="shared" ref="I63:K63" si="102">I59/G59-1</f>
        <v>0.958246526530554</v>
      </c>
      <c r="J63" s="202">
        <f t="shared" si="102"/>
        <v>0.787970519390143</v>
      </c>
      <c r="K63" s="202">
        <f t="shared" si="102"/>
        <v>-0.0447087462539582</v>
      </c>
      <c r="L63" s="110"/>
      <c r="M63" s="110"/>
      <c r="N63" s="110"/>
      <c r="O63" s="202">
        <f>O59/J59-1</f>
        <v>0.253586030227386</v>
      </c>
      <c r="P63" s="110"/>
      <c r="Q63" s="110"/>
      <c r="R63" s="110"/>
      <c r="S63" s="202">
        <f>S59/K59-1</f>
        <v>1.07844941102777</v>
      </c>
      <c r="T63" s="110"/>
      <c r="U63" s="110"/>
      <c r="V63" s="110"/>
      <c r="W63" s="202">
        <f>W59/O59-1</f>
        <v>0.403600751212005</v>
      </c>
      <c r="X63" s="110"/>
      <c r="Y63" s="16"/>
      <c r="Z63" s="110"/>
      <c r="AA63" s="202">
        <f>AA59/S59-1</f>
        <v>0.281942040648738</v>
      </c>
      <c r="AB63" s="202">
        <f>AB59/W59-1</f>
        <v>0.297863</v>
      </c>
      <c r="AC63" s="202">
        <f>AC59/AA59-1</f>
        <v>0.180998</v>
      </c>
      <c r="AD63" s="202">
        <f t="shared" ref="AD63:AF63" si="103">AD59/AB59-1</f>
        <v>0.13643608</v>
      </c>
      <c r="AE63" s="202">
        <f t="shared" si="103"/>
        <v>0.11458154</v>
      </c>
      <c r="AF63" s="202">
        <f t="shared" si="103"/>
        <v>0.0929391800000001</v>
      </c>
    </row>
    <row r="64" s="2" customFormat="1" ht="18.5" spans="3:32">
      <c r="C64" s="205"/>
      <c r="E64" s="204"/>
      <c r="F64" s="204"/>
      <c r="G64" s="204"/>
      <c r="H64" s="204"/>
      <c r="I64" s="204"/>
      <c r="J64" s="204"/>
      <c r="K64" s="204"/>
      <c r="L64" s="110"/>
      <c r="M64" s="110"/>
      <c r="N64" s="110"/>
      <c r="O64" s="204"/>
      <c r="P64" s="110"/>
      <c r="Q64" s="110"/>
      <c r="R64" s="110"/>
      <c r="S64" s="204"/>
      <c r="T64" s="110"/>
      <c r="U64" s="110"/>
      <c r="V64" s="110"/>
      <c r="W64" s="204"/>
      <c r="X64" s="110"/>
      <c r="Y64" s="110"/>
      <c r="Z64" s="110"/>
      <c r="AA64" s="204"/>
      <c r="AB64" s="237"/>
      <c r="AC64" s="193"/>
      <c r="AD64" s="193"/>
      <c r="AE64" s="193"/>
      <c r="AF64" s="193"/>
    </row>
    <row r="65" s="8" customFormat="1" ht="18.5" spans="3:32">
      <c r="C65" s="8" t="s">
        <v>138</v>
      </c>
      <c r="E65" s="253"/>
      <c r="F65" s="201">
        <f>F66*F75</f>
        <v>255.038</v>
      </c>
      <c r="G65" s="201">
        <f>G66*G75</f>
        <v>333.018</v>
      </c>
      <c r="H65" s="201">
        <f t="shared" ref="H65:K65" si="104">H66*H75</f>
        <v>505.824</v>
      </c>
      <c r="I65" s="201">
        <f t="shared" si="104"/>
        <v>896.382</v>
      </c>
      <c r="J65" s="201">
        <f t="shared" si="104"/>
        <v>1405.484</v>
      </c>
      <c r="K65" s="201">
        <f t="shared" si="104"/>
        <v>2466.92</v>
      </c>
      <c r="L65" s="109"/>
      <c r="M65" s="109"/>
      <c r="N65" s="109"/>
      <c r="O65" s="201">
        <f t="shared" ref="O65" si="105">O66*O75</f>
        <v>2620.278</v>
      </c>
      <c r="P65" s="109"/>
      <c r="Q65" s="109"/>
      <c r="R65" s="109"/>
      <c r="S65" s="201">
        <v>2543.3</v>
      </c>
      <c r="T65" s="109"/>
      <c r="U65" s="109">
        <v>1059.6</v>
      </c>
      <c r="V65" s="109">
        <f>W65-U65</f>
        <v>1290.7</v>
      </c>
      <c r="W65" s="201">
        <v>2350.3</v>
      </c>
      <c r="X65" s="109"/>
      <c r="Y65" s="109">
        <v>1043.8</v>
      </c>
      <c r="Z65" s="109">
        <f>AA65-Y65</f>
        <v>1188.985</v>
      </c>
      <c r="AA65" s="201">
        <f t="shared" ref="AA65:AF65" si="106">$AO$398*AA166</f>
        <v>2232.785</v>
      </c>
      <c r="AB65" s="201">
        <f t="shared" si="106"/>
        <v>2165.80145</v>
      </c>
      <c r="AC65" s="201">
        <f t="shared" si="106"/>
        <v>2100.8274065</v>
      </c>
      <c r="AD65" s="201">
        <f t="shared" si="106"/>
        <v>2037.802584305</v>
      </c>
      <c r="AE65" s="201">
        <f t="shared" si="106"/>
        <v>1976.66850677585</v>
      </c>
      <c r="AF65" s="201">
        <f t="shared" si="106"/>
        <v>1917.36845157257</v>
      </c>
    </row>
    <row r="66" s="2" customFormat="1" ht="18.5" spans="3:32">
      <c r="C66" s="2" t="s">
        <v>125</v>
      </c>
      <c r="D66" s="8"/>
      <c r="E66" s="204"/>
      <c r="F66" s="202">
        <v>0.14</v>
      </c>
      <c r="G66" s="202">
        <v>0.14</v>
      </c>
      <c r="H66" s="202">
        <v>0.16</v>
      </c>
      <c r="I66" s="202">
        <v>0.19</v>
      </c>
      <c r="J66" s="202">
        <v>0.23</v>
      </c>
      <c r="K66" s="202">
        <v>0.4</v>
      </c>
      <c r="L66" s="110"/>
      <c r="M66" s="110"/>
      <c r="N66" s="110"/>
      <c r="O66" s="202">
        <v>0.306</v>
      </c>
      <c r="P66" s="110"/>
      <c r="Q66" s="110"/>
      <c r="R66" s="110"/>
      <c r="S66" s="202">
        <f>S65/S75</f>
        <v>0.25119012345679</v>
      </c>
      <c r="T66" s="110"/>
      <c r="U66" s="16">
        <f>U65/U75</f>
        <v>0.221492924183198</v>
      </c>
      <c r="V66" s="16">
        <f>V65/V75</f>
        <v>0.224153800732881</v>
      </c>
      <c r="W66" s="202">
        <f>W65/W75</f>
        <v>0.222946309998103</v>
      </c>
      <c r="X66" s="110"/>
      <c r="Y66" s="16">
        <f>Y65/Y75</f>
        <v>0.207424188227813</v>
      </c>
      <c r="Z66" s="16">
        <f t="shared" ref="Z66:AC66" si="107">Z65/Z75</f>
        <v>0.17485475901069</v>
      </c>
      <c r="AA66" s="202">
        <f t="shared" si="107"/>
        <v>0.188706625041217</v>
      </c>
      <c r="AB66" s="202">
        <f t="shared" si="107"/>
        <v>0.170229941528724</v>
      </c>
      <c r="AC66" s="202">
        <f t="shared" si="107"/>
        <v>0.156886185351311</v>
      </c>
      <c r="AD66" s="202">
        <f t="shared" ref="AD66:AF66" si="108">AD65/AD75</f>
        <v>0.145566341094207</v>
      </c>
      <c r="AE66" s="202">
        <f t="shared" si="108"/>
        <v>0.136044653680837</v>
      </c>
      <c r="AF66" s="202">
        <f t="shared" si="108"/>
        <v>0.128124442474193</v>
      </c>
    </row>
    <row r="67" s="2" customFormat="1" ht="18.5" spans="3:32">
      <c r="C67" s="88" t="s">
        <v>18</v>
      </c>
      <c r="D67" s="8"/>
      <c r="E67" s="201"/>
      <c r="F67" s="204"/>
      <c r="G67" s="202">
        <f>G65/F65-1</f>
        <v>0.305758357578086</v>
      </c>
      <c r="H67" s="202">
        <f t="shared" ref="H67:K67" si="109">H65/G65-1</f>
        <v>0.518908887807866</v>
      </c>
      <c r="I67" s="202">
        <f t="shared" si="109"/>
        <v>0.77212231922566</v>
      </c>
      <c r="J67" s="202">
        <f t="shared" si="109"/>
        <v>0.567952056154631</v>
      </c>
      <c r="K67" s="202">
        <f t="shared" si="109"/>
        <v>0.755210304777571</v>
      </c>
      <c r="L67" s="110"/>
      <c r="M67" s="110"/>
      <c r="N67" s="110"/>
      <c r="O67" s="202">
        <f>O65/K65-1</f>
        <v>0.06216577756879</v>
      </c>
      <c r="P67" s="110"/>
      <c r="Q67" s="110"/>
      <c r="R67" s="110"/>
      <c r="S67" s="202">
        <f>S65/O65-1</f>
        <v>-0.0293777988442446</v>
      </c>
      <c r="T67" s="110"/>
      <c r="U67" s="110"/>
      <c r="V67" s="110"/>
      <c r="W67" s="202">
        <f>W65/S65-1</f>
        <v>-0.0758856603625211</v>
      </c>
      <c r="X67" s="110"/>
      <c r="Y67" s="16">
        <f>Y65/U65-1</f>
        <v>-0.0149112872782181</v>
      </c>
      <c r="Z67" s="16">
        <f>Z65/V65-1</f>
        <v>-0.0788060742232896</v>
      </c>
      <c r="AA67" s="202">
        <f>AA65/W65-1</f>
        <v>-0.0499999999999999</v>
      </c>
      <c r="AB67" s="202">
        <f>AB65/AA65-1</f>
        <v>-0.0300000000000001</v>
      </c>
      <c r="AC67" s="202">
        <f>AC65/AB65-1</f>
        <v>-0.0299999999999999</v>
      </c>
      <c r="AD67" s="202">
        <f t="shared" ref="AD67:AF67" si="110">AD65/AC65-1</f>
        <v>-0.0300000000000001</v>
      </c>
      <c r="AE67" s="202">
        <f t="shared" si="110"/>
        <v>-0.03</v>
      </c>
      <c r="AF67" s="202">
        <f t="shared" si="110"/>
        <v>-0.0299999999999999</v>
      </c>
    </row>
    <row r="68" s="2" customFormat="1" ht="18.5" spans="3:32">
      <c r="C68" s="203" t="s">
        <v>126</v>
      </c>
      <c r="D68" s="8"/>
      <c r="E68" s="201"/>
      <c r="F68" s="204"/>
      <c r="G68" s="204">
        <f>(G67-D67)*10000</f>
        <v>3057.58357578086</v>
      </c>
      <c r="H68" s="204">
        <f t="shared" ref="H68" si="111">(H67-E67)*10000</f>
        <v>5189.08887807866</v>
      </c>
      <c r="I68" s="204">
        <f t="shared" ref="I68" si="112">(I67-F67)*10000</f>
        <v>7721.2231922566</v>
      </c>
      <c r="J68" s="204">
        <f t="shared" ref="J68" si="113">(J67-G67)*10000</f>
        <v>2621.93698576544</v>
      </c>
      <c r="K68" s="204">
        <f t="shared" ref="K68" si="114">(K67-H67)*10000</f>
        <v>2363.01416969705</v>
      </c>
      <c r="L68" s="110"/>
      <c r="M68" s="110"/>
      <c r="N68" s="110"/>
      <c r="O68" s="204">
        <f>(O67-K67)*10000</f>
        <v>-6930.44527208781</v>
      </c>
      <c r="P68" s="110"/>
      <c r="Q68" s="110"/>
      <c r="R68" s="110"/>
      <c r="S68" s="204">
        <f>(S67-O67)*10000</f>
        <v>-915.435764130347</v>
      </c>
      <c r="T68" s="110"/>
      <c r="U68" s="110"/>
      <c r="V68" s="110"/>
      <c r="W68" s="204">
        <f>(W67-S67)*10000</f>
        <v>-465.078615182765</v>
      </c>
      <c r="X68" s="110"/>
      <c r="Y68" s="110"/>
      <c r="Z68" s="109"/>
      <c r="AA68" s="204">
        <f>(AA67-W67)*10000</f>
        <v>258.856603625212</v>
      </c>
      <c r="AB68" s="204">
        <f>(AB67-W67)*10000</f>
        <v>458.85660362521</v>
      </c>
      <c r="AC68" s="204">
        <f>(AC67-AB67)*10000</f>
        <v>2.22044604925031e-12</v>
      </c>
      <c r="AD68" s="204">
        <f t="shared" ref="AD68:AF68" si="115">(AD67-AC67)*10000</f>
        <v>-2.22044604925031e-12</v>
      </c>
      <c r="AE68" s="204">
        <f t="shared" si="115"/>
        <v>1.11022302462516e-12</v>
      </c>
      <c r="AF68" s="204">
        <f t="shared" si="115"/>
        <v>1.11022302462516e-12</v>
      </c>
    </row>
    <row r="69" s="2" customFormat="1" ht="18.5" spans="3:32">
      <c r="C69" s="88" t="s">
        <v>127</v>
      </c>
      <c r="D69" s="8"/>
      <c r="E69" s="201"/>
      <c r="F69" s="204"/>
      <c r="G69" s="204"/>
      <c r="H69" s="202">
        <f>H65/F65-1</f>
        <v>0.983327974654757</v>
      </c>
      <c r="I69" s="202">
        <f t="shared" ref="I69" si="116">I65/G65-1</f>
        <v>1.69169234095454</v>
      </c>
      <c r="J69" s="202">
        <f t="shared" ref="J69" si="117">J65/H65-1</f>
        <v>1.77860283418739</v>
      </c>
      <c r="K69" s="202">
        <f t="shared" ref="K69" si="118">K65/I65-1</f>
        <v>1.75208560635979</v>
      </c>
      <c r="L69" s="110"/>
      <c r="M69" s="110"/>
      <c r="N69" s="110"/>
      <c r="O69" s="202">
        <f>O65/J65-1</f>
        <v>0.864324318170822</v>
      </c>
      <c r="P69" s="110"/>
      <c r="Q69" s="110"/>
      <c r="R69" s="110"/>
      <c r="S69" s="202">
        <f>S65/K65-1</f>
        <v>0.0309616850161336</v>
      </c>
      <c r="T69" s="110"/>
      <c r="U69" s="110"/>
      <c r="V69" s="110"/>
      <c r="W69" s="202">
        <f>W65/O65-1</f>
        <v>-0.103034105541473</v>
      </c>
      <c r="X69" s="110"/>
      <c r="Y69" s="110"/>
      <c r="Z69" s="109"/>
      <c r="AA69" s="202">
        <f>AA65/S65-1</f>
        <v>-0.122091377344395</v>
      </c>
      <c r="AB69" s="202">
        <f>AB65/W65-1</f>
        <v>-0.0785000000000001</v>
      </c>
      <c r="AC69" s="202">
        <f>AC65/AA65-1</f>
        <v>-0.0591000000000002</v>
      </c>
      <c r="AD69" s="202">
        <f t="shared" ref="AD69:AF69" si="119">AD65/AB65-1</f>
        <v>-0.0591</v>
      </c>
      <c r="AE69" s="202">
        <f t="shared" si="119"/>
        <v>-0.0591000000000002</v>
      </c>
      <c r="AF69" s="202">
        <f t="shared" si="119"/>
        <v>-0.0591</v>
      </c>
    </row>
    <row r="70" s="2" customFormat="1" ht="18.5" spans="4:33">
      <c r="D70" s="8"/>
      <c r="E70" s="201"/>
      <c r="F70" s="204"/>
      <c r="G70" s="204"/>
      <c r="H70" s="204"/>
      <c r="I70" s="204"/>
      <c r="J70" s="204"/>
      <c r="K70" s="204"/>
      <c r="L70" s="110"/>
      <c r="M70" s="110"/>
      <c r="N70" s="110"/>
      <c r="O70" s="204"/>
      <c r="P70" s="110"/>
      <c r="Q70" s="110"/>
      <c r="R70" s="110"/>
      <c r="S70" s="204"/>
      <c r="T70" s="110"/>
      <c r="U70" s="110"/>
      <c r="V70" s="110"/>
      <c r="W70" s="204"/>
      <c r="X70" s="110"/>
      <c r="Y70" s="110"/>
      <c r="Z70" s="109"/>
      <c r="AA70" s="201"/>
      <c r="AB70" s="237"/>
      <c r="AC70" s="193"/>
      <c r="AD70" s="193"/>
      <c r="AE70" s="193"/>
      <c r="AF70" s="193"/>
      <c r="AG70" s="16"/>
    </row>
    <row r="71" s="8" customFormat="1" ht="18.5" spans="3:32">
      <c r="C71" s="8" t="s">
        <v>135</v>
      </c>
      <c r="E71" s="253"/>
      <c r="F71" s="201">
        <f>F72*F75</f>
        <v>91.0849999999999</v>
      </c>
      <c r="G71" s="201">
        <f>G72*G75</f>
        <v>166.509</v>
      </c>
      <c r="H71" s="201">
        <f t="shared" ref="H71:K71" si="120">H72*H75</f>
        <v>126.456</v>
      </c>
      <c r="I71" s="201">
        <f t="shared" si="120"/>
        <v>141.534</v>
      </c>
      <c r="J71" s="201">
        <f t="shared" si="120"/>
        <v>183.324</v>
      </c>
      <c r="K71" s="201">
        <f t="shared" si="120"/>
        <v>185.019</v>
      </c>
      <c r="L71" s="109"/>
      <c r="M71" s="109"/>
      <c r="N71" s="109"/>
      <c r="O71" s="201">
        <f t="shared" ref="O71" si="121">O72*O75</f>
        <v>274.016</v>
      </c>
      <c r="P71" s="109"/>
      <c r="Q71" s="109"/>
      <c r="R71" s="109"/>
      <c r="S71" s="201">
        <v>275.2</v>
      </c>
      <c r="T71" s="109"/>
      <c r="U71" s="109">
        <v>132.8</v>
      </c>
      <c r="V71" s="109">
        <f>W71-U71</f>
        <v>102.3</v>
      </c>
      <c r="W71" s="201">
        <v>235.1</v>
      </c>
      <c r="X71" s="109"/>
      <c r="Y71" s="8">
        <v>63.5</v>
      </c>
      <c r="Z71" s="109">
        <f>AA71-Y71</f>
        <v>169.249</v>
      </c>
      <c r="AA71" s="201">
        <f>W71*(1+AA73)</f>
        <v>232.749</v>
      </c>
      <c r="AB71" s="201">
        <f>AA71*(1+AB73)</f>
        <v>230.42151</v>
      </c>
      <c r="AC71" s="201">
        <f t="shared" ref="AC71:AF71" si="122">AB71*(1+AC73)</f>
        <v>228.1172949</v>
      </c>
      <c r="AD71" s="201">
        <f t="shared" si="122"/>
        <v>225.836121951</v>
      </c>
      <c r="AE71" s="201">
        <f t="shared" si="122"/>
        <v>223.57776073149</v>
      </c>
      <c r="AF71" s="201">
        <f t="shared" si="122"/>
        <v>221.341983124175</v>
      </c>
    </row>
    <row r="72" s="8" customFormat="1" ht="18.5" spans="3:32">
      <c r="C72" s="2" t="s">
        <v>125</v>
      </c>
      <c r="E72" s="201"/>
      <c r="F72" s="202">
        <f t="shared" ref="F72:K72" si="123">1-F60-F66</f>
        <v>0.0499999999999999</v>
      </c>
      <c r="G72" s="202">
        <f t="shared" si="123"/>
        <v>0.07</v>
      </c>
      <c r="H72" s="202">
        <f t="shared" si="123"/>
        <v>0.04</v>
      </c>
      <c r="I72" s="202">
        <f t="shared" si="123"/>
        <v>0.03</v>
      </c>
      <c r="J72" s="202">
        <f t="shared" si="123"/>
        <v>0.03</v>
      </c>
      <c r="K72" s="202">
        <f t="shared" si="123"/>
        <v>0.03</v>
      </c>
      <c r="L72" s="109"/>
      <c r="M72" s="109"/>
      <c r="N72" s="109"/>
      <c r="O72" s="202">
        <f>1-O60-O66</f>
        <v>0.032</v>
      </c>
      <c r="P72" s="109"/>
      <c r="Q72" s="109"/>
      <c r="R72" s="109"/>
      <c r="S72" s="202">
        <f>1-S60-S66</f>
        <v>0.0271802469135802</v>
      </c>
      <c r="T72" s="109"/>
      <c r="U72" s="16">
        <f>U71/U75</f>
        <v>0.0277597775873242</v>
      </c>
      <c r="V72" s="16">
        <f>V71/V75</f>
        <v>0.0177662770705615</v>
      </c>
      <c r="W72" s="202">
        <f>1-W60-W66</f>
        <v>0.0223012711060521</v>
      </c>
      <c r="X72" s="109"/>
      <c r="Y72" s="16">
        <f>Y71/Y75</f>
        <v>0.0126187353443822</v>
      </c>
      <c r="Z72" s="16">
        <f t="shared" ref="Z72" si="124">Z71/Z75</f>
        <v>0.024890131589381</v>
      </c>
      <c r="AA72" s="202">
        <f>1-AA66-AA60</f>
        <v>0.0196710736912502</v>
      </c>
      <c r="AB72" s="202">
        <v>0.02</v>
      </c>
      <c r="AC72" s="202">
        <v>0.02</v>
      </c>
      <c r="AD72" s="202">
        <v>0.02</v>
      </c>
      <c r="AE72" s="202">
        <v>0.02</v>
      </c>
      <c r="AF72" s="202">
        <v>0.02</v>
      </c>
    </row>
    <row r="73" s="8" customFormat="1" ht="18.5" spans="3:32">
      <c r="C73" s="88" t="s">
        <v>18</v>
      </c>
      <c r="E73" s="201"/>
      <c r="F73" s="202"/>
      <c r="G73" s="202">
        <f>G71/F71-1</f>
        <v>0.828061700609322</v>
      </c>
      <c r="H73" s="202">
        <f t="shared" ref="H73:R73" si="125">H71/G71-1</f>
        <v>-0.240545556096067</v>
      </c>
      <c r="I73" s="202">
        <f t="shared" si="125"/>
        <v>0.119235148984628</v>
      </c>
      <c r="J73" s="202">
        <f t="shared" si="125"/>
        <v>0.295264742040783</v>
      </c>
      <c r="K73" s="202">
        <f t="shared" si="125"/>
        <v>0.00924592524710444</v>
      </c>
      <c r="L73" s="202">
        <f t="shared" si="125"/>
        <v>-1</v>
      </c>
      <c r="M73" s="202" t="e">
        <f t="shared" si="125"/>
        <v>#DIV/0!</v>
      </c>
      <c r="N73" s="202" t="e">
        <f t="shared" si="125"/>
        <v>#DIV/0!</v>
      </c>
      <c r="O73" s="202">
        <f>O71/K71-1</f>
        <v>0.481015463276742</v>
      </c>
      <c r="P73" s="202">
        <f t="shared" si="125"/>
        <v>-1</v>
      </c>
      <c r="Q73" s="202" t="e">
        <f t="shared" si="125"/>
        <v>#DIV/0!</v>
      </c>
      <c r="R73" s="202" t="e">
        <f t="shared" si="125"/>
        <v>#DIV/0!</v>
      </c>
      <c r="S73" s="202">
        <f>S71/O71-1</f>
        <v>0.004320915566975</v>
      </c>
      <c r="T73" s="109"/>
      <c r="U73" s="16"/>
      <c r="V73" s="16"/>
      <c r="W73" s="202">
        <f>W71/S71-1</f>
        <v>-0.145712209302326</v>
      </c>
      <c r="X73" s="109"/>
      <c r="Y73" s="16"/>
      <c r="Z73" s="16"/>
      <c r="AA73" s="202">
        <v>-0.01</v>
      </c>
      <c r="AB73" s="202">
        <v>-0.01</v>
      </c>
      <c r="AC73" s="202">
        <v>-0.01</v>
      </c>
      <c r="AD73" s="202">
        <v>-0.01</v>
      </c>
      <c r="AE73" s="202">
        <v>-0.01</v>
      </c>
      <c r="AF73" s="202">
        <v>-0.01</v>
      </c>
    </row>
    <row r="74" s="2" customFormat="1" ht="18.5" spans="5:32">
      <c r="E74" s="204"/>
      <c r="F74" s="204"/>
      <c r="G74" s="204"/>
      <c r="H74" s="204"/>
      <c r="I74" s="204"/>
      <c r="J74" s="204"/>
      <c r="K74" s="202"/>
      <c r="L74" s="110"/>
      <c r="M74" s="110"/>
      <c r="N74" s="110"/>
      <c r="O74" s="202"/>
      <c r="P74" s="110"/>
      <c r="Q74" s="110"/>
      <c r="R74" s="110"/>
      <c r="S74" s="202"/>
      <c r="T74" s="110"/>
      <c r="U74" s="110"/>
      <c r="V74" s="110"/>
      <c r="W74" s="202"/>
      <c r="X74" s="110"/>
      <c r="AA74" s="237"/>
      <c r="AB74" s="237"/>
      <c r="AC74" s="193"/>
      <c r="AD74" s="193"/>
      <c r="AE74" s="193"/>
      <c r="AF74" s="193"/>
    </row>
    <row r="75" s="8" customFormat="1" ht="18.5" spans="3:32">
      <c r="C75" s="208" t="s">
        <v>139</v>
      </c>
      <c r="D75" s="254"/>
      <c r="E75" s="209">
        <v>1522.3</v>
      </c>
      <c r="F75" s="209">
        <v>1821.7</v>
      </c>
      <c r="G75" s="209">
        <v>2378.7</v>
      </c>
      <c r="H75" s="209">
        <v>3161.4</v>
      </c>
      <c r="I75" s="209">
        <v>4717.8</v>
      </c>
      <c r="J75" s="209">
        <v>6110.8</v>
      </c>
      <c r="K75" s="209">
        <v>6167.3</v>
      </c>
      <c r="L75" s="222"/>
      <c r="M75" s="222"/>
      <c r="N75" s="222"/>
      <c r="O75" s="209">
        <v>8563</v>
      </c>
      <c r="P75" s="222"/>
      <c r="Q75" s="222"/>
      <c r="R75" s="222"/>
      <c r="S75" s="209">
        <f>S59+S65+S71</f>
        <v>10125</v>
      </c>
      <c r="T75" s="222"/>
      <c r="U75" s="222">
        <f>U59+U65+U71</f>
        <v>4783.9</v>
      </c>
      <c r="V75" s="222">
        <f>V59+V65+V71</f>
        <v>5758.1</v>
      </c>
      <c r="W75" s="209">
        <f>W59+W65+W71</f>
        <v>10542</v>
      </c>
      <c r="X75" s="222"/>
      <c r="Y75" s="222">
        <f>Y59+Y65+Y71</f>
        <v>5032.2</v>
      </c>
      <c r="Z75" s="222">
        <f>Z59+Z65+Z71</f>
        <v>6799.84352</v>
      </c>
      <c r="AA75" s="209">
        <f>AA59+AA65+AA71</f>
        <v>11832.04352</v>
      </c>
      <c r="AB75" s="209">
        <f t="shared" ref="AB75:AF75" si="126">AB59+AB65+AB71</f>
        <v>12722.7997058</v>
      </c>
      <c r="AC75" s="209">
        <f t="shared" si="126"/>
        <v>13390.773711501</v>
      </c>
      <c r="AD75" s="209">
        <f t="shared" si="126"/>
        <v>13999.1331030721</v>
      </c>
      <c r="AE75" s="209">
        <f t="shared" si="126"/>
        <v>14529.5566808024</v>
      </c>
      <c r="AF75" s="209">
        <f t="shared" si="126"/>
        <v>14964.8920576476</v>
      </c>
    </row>
    <row r="76" s="2" customFormat="1" ht="18.5" spans="5:32">
      <c r="E76" s="193"/>
      <c r="F76" s="202"/>
      <c r="G76" s="202"/>
      <c r="H76" s="202"/>
      <c r="I76" s="202"/>
      <c r="J76" s="202"/>
      <c r="K76" s="202"/>
      <c r="L76" s="257"/>
      <c r="M76" s="257"/>
      <c r="N76" s="257"/>
      <c r="O76" s="258"/>
      <c r="P76" s="257"/>
      <c r="Q76" s="257"/>
      <c r="R76" s="257"/>
      <c r="S76" s="258"/>
      <c r="T76" s="257"/>
      <c r="U76" s="257"/>
      <c r="V76" s="257"/>
      <c r="W76" s="258"/>
      <c r="X76" s="257"/>
      <c r="Y76" s="257"/>
      <c r="Z76" s="257"/>
      <c r="AA76" s="263"/>
      <c r="AB76" s="258"/>
      <c r="AC76" s="193"/>
      <c r="AD76" s="193"/>
      <c r="AE76" s="193"/>
      <c r="AF76" s="193"/>
    </row>
    <row r="77" s="2" customFormat="1" ht="26" spans="3:32">
      <c r="C77" s="107" t="s">
        <v>140</v>
      </c>
      <c r="D77" s="140"/>
      <c r="E77" s="140"/>
      <c r="F77" s="140"/>
      <c r="G77" s="140"/>
      <c r="H77" s="140"/>
      <c r="I77" s="259"/>
      <c r="J77" s="259"/>
      <c r="K77" s="259"/>
      <c r="L77" s="259"/>
      <c r="M77" s="259"/>
      <c r="N77" s="259"/>
      <c r="O77" s="259"/>
      <c r="P77" s="259"/>
      <c r="Q77" s="259"/>
      <c r="R77" s="259"/>
      <c r="S77" s="259"/>
      <c r="T77" s="259"/>
      <c r="U77" s="259"/>
      <c r="V77" s="259"/>
      <c r="W77" s="259"/>
      <c r="X77" s="259"/>
      <c r="Y77" s="259"/>
      <c r="Z77" s="259"/>
      <c r="AA77" s="264"/>
      <c r="AB77" s="259"/>
      <c r="AC77" s="140"/>
      <c r="AD77" s="140"/>
      <c r="AE77" s="140"/>
      <c r="AF77" s="140"/>
    </row>
    <row r="78" s="8" customFormat="1" ht="18.5" spans="3:32">
      <c r="C78" s="8" t="s">
        <v>141</v>
      </c>
      <c r="E78" s="201"/>
      <c r="F78" s="201"/>
      <c r="G78" s="201"/>
      <c r="H78" s="201"/>
      <c r="I78" s="201"/>
      <c r="J78" s="201"/>
      <c r="K78" s="201"/>
      <c r="L78" s="225"/>
      <c r="M78" s="225"/>
      <c r="N78" s="225"/>
      <c r="O78" s="260"/>
      <c r="P78" s="225"/>
      <c r="Q78" s="225"/>
      <c r="R78" s="225"/>
      <c r="S78" s="260"/>
      <c r="T78" s="225"/>
      <c r="U78" s="225"/>
      <c r="V78" s="225"/>
      <c r="W78" s="260"/>
      <c r="X78" s="225"/>
      <c r="Y78" s="225"/>
      <c r="Z78" s="225"/>
      <c r="AA78" s="265"/>
      <c r="AB78" s="266"/>
      <c r="AC78" s="206"/>
      <c r="AD78" s="206"/>
      <c r="AE78" s="206"/>
      <c r="AF78" s="206"/>
    </row>
    <row r="79" s="2" customFormat="1" ht="18.5" spans="3:32">
      <c r="C79" s="2" t="s">
        <v>142</v>
      </c>
      <c r="E79" s="204"/>
      <c r="F79" s="204">
        <v>660</v>
      </c>
      <c r="G79" s="204">
        <f>F84</f>
        <v>736</v>
      </c>
      <c r="H79" s="204">
        <f t="shared" ref="H79:K79" si="127">G84</f>
        <v>1050</v>
      </c>
      <c r="I79" s="204">
        <f t="shared" si="127"/>
        <v>1237</v>
      </c>
      <c r="J79" s="204">
        <f t="shared" si="127"/>
        <v>2167</v>
      </c>
      <c r="K79" s="204">
        <f t="shared" si="127"/>
        <v>2203</v>
      </c>
      <c r="L79" s="73"/>
      <c r="M79" s="73">
        <f>K84</f>
        <v>2396</v>
      </c>
      <c r="N79" s="73">
        <f>O79</f>
        <v>2396</v>
      </c>
      <c r="O79" s="223">
        <f>K84</f>
        <v>2396</v>
      </c>
      <c r="P79" s="73"/>
      <c r="Q79" s="73">
        <f>O84</f>
        <v>3154</v>
      </c>
      <c r="R79" s="73">
        <f>S79</f>
        <v>3154</v>
      </c>
      <c r="S79" s="223">
        <f>O84</f>
        <v>3154</v>
      </c>
      <c r="T79" s="73"/>
      <c r="U79" s="73">
        <f>S84</f>
        <v>3139</v>
      </c>
      <c r="V79" s="73">
        <f>W79</f>
        <v>3139</v>
      </c>
      <c r="W79" s="223">
        <f>S84</f>
        <v>3139</v>
      </c>
      <c r="X79" s="73"/>
      <c r="Y79" s="73">
        <f>W84</f>
        <v>3074</v>
      </c>
      <c r="Z79" s="73">
        <f>AA79</f>
        <v>3074</v>
      </c>
      <c r="AA79" s="267">
        <f>W84</f>
        <v>3074</v>
      </c>
      <c r="AB79" s="223">
        <f>AA84</f>
        <v>3199.84003752213</v>
      </c>
      <c r="AC79" s="223">
        <f t="shared" ref="AC79:AF79" si="128">AB84</f>
        <v>3280.61353738938</v>
      </c>
      <c r="AD79" s="223">
        <f t="shared" si="128"/>
        <v>3346.8506869062</v>
      </c>
      <c r="AE79" s="223">
        <f t="shared" si="128"/>
        <v>3381.59418451313</v>
      </c>
      <c r="AF79" s="223">
        <f t="shared" si="128"/>
        <v>3383.52652404714</v>
      </c>
    </row>
    <row r="80" s="2" customFormat="1" ht="18.5" spans="3:32">
      <c r="C80" s="88" t="s">
        <v>143</v>
      </c>
      <c r="E80" s="204"/>
      <c r="F80" s="204">
        <v>114</v>
      </c>
      <c r="G80" s="204">
        <v>98</v>
      </c>
      <c r="H80" s="204">
        <v>131</v>
      </c>
      <c r="I80" s="204">
        <v>109</v>
      </c>
      <c r="J80" s="204">
        <v>100</v>
      </c>
      <c r="K80" s="204">
        <v>66</v>
      </c>
      <c r="L80" s="73"/>
      <c r="M80" s="73">
        <v>56</v>
      </c>
      <c r="N80" s="73">
        <f t="shared" ref="N80:N84" si="129">O80</f>
        <v>139</v>
      </c>
      <c r="O80" s="204">
        <v>139</v>
      </c>
      <c r="P80" s="73"/>
      <c r="Q80" s="73">
        <v>98</v>
      </c>
      <c r="R80" s="73">
        <f t="shared" ref="R80:R84" si="130">S80</f>
        <v>219</v>
      </c>
      <c r="S80" s="204">
        <v>219</v>
      </c>
      <c r="T80" s="73"/>
      <c r="U80" s="73">
        <v>101</v>
      </c>
      <c r="V80" s="73">
        <f t="shared" ref="V80:V84" si="131">W80</f>
        <v>244</v>
      </c>
      <c r="W80" s="204">
        <v>244</v>
      </c>
      <c r="X80" s="73"/>
      <c r="Y80" s="73">
        <f>85+20+7</f>
        <v>112</v>
      </c>
      <c r="Z80" s="73">
        <f t="shared" ref="Z80:Z84" si="132">AA80</f>
        <v>0</v>
      </c>
      <c r="AA80" s="268">
        <v>0</v>
      </c>
      <c r="AB80" s="268">
        <v>0</v>
      </c>
      <c r="AC80" s="268">
        <v>0</v>
      </c>
      <c r="AD80" s="268">
        <v>0</v>
      </c>
      <c r="AE80" s="268">
        <v>0</v>
      </c>
      <c r="AF80" s="268">
        <v>0</v>
      </c>
    </row>
    <row r="81" s="2" customFormat="1" ht="18.5" spans="3:32">
      <c r="C81" s="203" t="s">
        <v>144</v>
      </c>
      <c r="E81" s="204"/>
      <c r="F81" s="204">
        <v>-2</v>
      </c>
      <c r="G81" s="204">
        <v>0</v>
      </c>
      <c r="H81" s="204">
        <v>-1</v>
      </c>
      <c r="I81" s="204">
        <v>0</v>
      </c>
      <c r="J81" s="204">
        <v>0</v>
      </c>
      <c r="K81" s="204">
        <v>0</v>
      </c>
      <c r="L81" s="73"/>
      <c r="M81" s="73">
        <v>0</v>
      </c>
      <c r="N81" s="73">
        <f t="shared" si="129"/>
        <v>0</v>
      </c>
      <c r="O81" s="204">
        <v>0</v>
      </c>
      <c r="P81" s="73"/>
      <c r="Q81" s="73">
        <v>0</v>
      </c>
      <c r="R81" s="73">
        <f t="shared" si="130"/>
        <v>0</v>
      </c>
      <c r="S81" s="204">
        <v>0</v>
      </c>
      <c r="T81" s="73"/>
      <c r="U81" s="73">
        <v>0</v>
      </c>
      <c r="V81" s="73">
        <f t="shared" si="131"/>
        <v>0</v>
      </c>
      <c r="W81" s="204">
        <v>0</v>
      </c>
      <c r="X81" s="73"/>
      <c r="Y81" s="73">
        <f>6-2-4</f>
        <v>0</v>
      </c>
      <c r="Z81" s="73">
        <f t="shared" si="132"/>
        <v>0</v>
      </c>
      <c r="AA81" s="268">
        <v>0</v>
      </c>
      <c r="AB81" s="268">
        <v>0</v>
      </c>
      <c r="AC81" s="268">
        <v>0</v>
      </c>
      <c r="AD81" s="268">
        <v>0</v>
      </c>
      <c r="AE81" s="268">
        <v>0</v>
      </c>
      <c r="AF81" s="268">
        <v>0</v>
      </c>
    </row>
    <row r="82" s="2" customFormat="1" ht="18.5" spans="3:32">
      <c r="C82" s="203" t="s">
        <v>145</v>
      </c>
      <c r="E82" s="204"/>
      <c r="F82" s="204">
        <v>0</v>
      </c>
      <c r="G82" s="204">
        <v>273</v>
      </c>
      <c r="H82" s="204">
        <v>165</v>
      </c>
      <c r="I82" s="204">
        <v>943</v>
      </c>
      <c r="J82" s="204">
        <v>73</v>
      </c>
      <c r="K82" s="204">
        <v>175</v>
      </c>
      <c r="L82" s="73"/>
      <c r="M82" s="73">
        <v>660</v>
      </c>
      <c r="N82" s="73">
        <f t="shared" si="129"/>
        <v>721</v>
      </c>
      <c r="O82" s="204">
        <v>721</v>
      </c>
      <c r="P82" s="73"/>
      <c r="Q82" s="73">
        <v>1</v>
      </c>
      <c r="R82" s="73">
        <f t="shared" si="130"/>
        <v>-75</v>
      </c>
      <c r="S82" s="204">
        <v>-75</v>
      </c>
      <c r="T82" s="73"/>
      <c r="U82" s="73">
        <v>-66</v>
      </c>
      <c r="V82" s="73">
        <f t="shared" si="131"/>
        <v>-74</v>
      </c>
      <c r="W82" s="204">
        <v>-74</v>
      </c>
      <c r="X82" s="73"/>
      <c r="Y82" s="73">
        <f>0+1179+0</f>
        <v>1179</v>
      </c>
      <c r="Z82" s="73">
        <f t="shared" si="132"/>
        <v>0</v>
      </c>
      <c r="AA82" s="268">
        <v>0</v>
      </c>
      <c r="AB82" s="268">
        <v>0</v>
      </c>
      <c r="AC82" s="268">
        <v>0</v>
      </c>
      <c r="AD82" s="268">
        <v>0</v>
      </c>
      <c r="AE82" s="268">
        <v>0</v>
      </c>
      <c r="AF82" s="268">
        <v>0</v>
      </c>
    </row>
    <row r="83" s="2" customFormat="1" ht="18.5" spans="3:32">
      <c r="C83" s="88" t="s">
        <v>146</v>
      </c>
      <c r="E83" s="204"/>
      <c r="F83" s="204">
        <v>-36</v>
      </c>
      <c r="G83" s="204">
        <v>-57</v>
      </c>
      <c r="H83" s="204">
        <v>-108</v>
      </c>
      <c r="I83" s="204">
        <v>-122</v>
      </c>
      <c r="J83" s="204">
        <v>-137</v>
      </c>
      <c r="K83" s="204">
        <v>-48</v>
      </c>
      <c r="L83" s="73"/>
      <c r="M83" s="73">
        <v>-46</v>
      </c>
      <c r="N83" s="73">
        <f t="shared" si="129"/>
        <v>-102</v>
      </c>
      <c r="O83" s="204">
        <v>-102</v>
      </c>
      <c r="P83" s="73"/>
      <c r="Q83" s="73">
        <v>-67</v>
      </c>
      <c r="R83" s="73">
        <f t="shared" si="130"/>
        <v>-159</v>
      </c>
      <c r="S83" s="204">
        <v>-159</v>
      </c>
      <c r="T83" s="73"/>
      <c r="U83" s="73">
        <v>-74</v>
      </c>
      <c r="V83" s="73">
        <f t="shared" si="131"/>
        <v>-235</v>
      </c>
      <c r="W83" s="204">
        <v>-235</v>
      </c>
      <c r="X83" s="73"/>
      <c r="Y83" s="73">
        <f>-42-52-2</f>
        <v>-96</v>
      </c>
      <c r="Z83" s="73">
        <f t="shared" si="132"/>
        <v>0</v>
      </c>
      <c r="AA83" s="268">
        <v>0</v>
      </c>
      <c r="AB83" s="268">
        <v>0</v>
      </c>
      <c r="AC83" s="268">
        <v>0</v>
      </c>
      <c r="AD83" s="268">
        <v>0</v>
      </c>
      <c r="AE83" s="268">
        <v>0</v>
      </c>
      <c r="AF83" s="268">
        <v>0</v>
      </c>
    </row>
    <row r="84" s="8" customFormat="1" ht="18.5" spans="3:32">
      <c r="C84" s="255" t="s">
        <v>147</v>
      </c>
      <c r="E84" s="201"/>
      <c r="F84" s="201">
        <f>F79+F80+F81+F83+F82</f>
        <v>736</v>
      </c>
      <c r="G84" s="201">
        <f>G79+G80+G81+G83+G82</f>
        <v>1050</v>
      </c>
      <c r="H84" s="201">
        <f t="shared" ref="H84:K84" si="133">H79+H80+H81+H83+H82</f>
        <v>1237</v>
      </c>
      <c r="I84" s="201">
        <f t="shared" si="133"/>
        <v>2167</v>
      </c>
      <c r="J84" s="201">
        <f t="shared" si="133"/>
        <v>2203</v>
      </c>
      <c r="K84" s="201">
        <f t="shared" si="133"/>
        <v>2396</v>
      </c>
      <c r="L84" s="225"/>
      <c r="M84" s="109">
        <f t="shared" ref="M84" si="134">M79+M80+M81+M83+M82</f>
        <v>3066</v>
      </c>
      <c r="N84" s="225">
        <f t="shared" si="129"/>
        <v>3154</v>
      </c>
      <c r="O84" s="201">
        <f t="shared" ref="O84" si="135">O79+O80+O81+O83+O82</f>
        <v>3154</v>
      </c>
      <c r="P84" s="225"/>
      <c r="Q84" s="109">
        <f t="shared" ref="Q84" si="136">Q79+Q80+Q81+Q83+Q82</f>
        <v>3186</v>
      </c>
      <c r="R84" s="225">
        <f t="shared" si="130"/>
        <v>3139</v>
      </c>
      <c r="S84" s="201">
        <f t="shared" ref="S84" si="137">S79+S80+S81+S83+S82</f>
        <v>3139</v>
      </c>
      <c r="T84" s="225"/>
      <c r="U84" s="109">
        <f t="shared" ref="U84:Y84" si="138">U79+U80+U81+U83+U82</f>
        <v>3100</v>
      </c>
      <c r="V84" s="225">
        <f t="shared" si="131"/>
        <v>3074</v>
      </c>
      <c r="W84" s="201">
        <f t="shared" si="138"/>
        <v>3074</v>
      </c>
      <c r="X84" s="225"/>
      <c r="Y84" s="109">
        <f t="shared" si="138"/>
        <v>4269</v>
      </c>
      <c r="Z84" s="225">
        <f t="shared" si="132"/>
        <v>3199.84003752213</v>
      </c>
      <c r="AA84" s="269">
        <f>AA85*AA100</f>
        <v>3199.84003752213</v>
      </c>
      <c r="AB84" s="260">
        <f>AB85*AB100</f>
        <v>3280.61353738938</v>
      </c>
      <c r="AC84" s="260">
        <f t="shared" ref="AC84:AF84" si="139">AC85*AC100</f>
        <v>3346.8506869062</v>
      </c>
      <c r="AD84" s="260">
        <f t="shared" si="139"/>
        <v>3381.59418451313</v>
      </c>
      <c r="AE84" s="260">
        <f t="shared" si="139"/>
        <v>3383.52652404714</v>
      </c>
      <c r="AF84" s="260">
        <f t="shared" si="139"/>
        <v>3352.26918377737</v>
      </c>
    </row>
    <row r="85" s="8" customFormat="1" ht="18.5" spans="3:32">
      <c r="C85" s="205" t="s">
        <v>148</v>
      </c>
      <c r="E85" s="201"/>
      <c r="F85" s="202">
        <f>F84/F100</f>
        <v>0.801742919389978</v>
      </c>
      <c r="G85" s="202">
        <f t="shared" ref="G85:K85" si="140">G84/G100</f>
        <v>0.815217391304348</v>
      </c>
      <c r="H85" s="202">
        <f t="shared" si="140"/>
        <v>0.83921302578019</v>
      </c>
      <c r="I85" s="202">
        <f t="shared" si="140"/>
        <v>0.895454545454546</v>
      </c>
      <c r="J85" s="202">
        <f t="shared" si="140"/>
        <v>0.899918300653595</v>
      </c>
      <c r="K85" s="202">
        <f t="shared" si="140"/>
        <v>0.908952959028832</v>
      </c>
      <c r="L85" s="225"/>
      <c r="M85" s="16">
        <f>M84/M100</f>
        <v>0.927966101694915</v>
      </c>
      <c r="N85" s="16">
        <f>N84/N100</f>
        <v>0.927101704879483</v>
      </c>
      <c r="O85" s="202">
        <f t="shared" ref="O85" si="141">O84/O100</f>
        <v>0.927101704879483</v>
      </c>
      <c r="P85" s="225"/>
      <c r="Q85" s="16">
        <f>Q84/Q100</f>
        <v>0.927240977881257</v>
      </c>
      <c r="R85" s="16">
        <f>R84/R100</f>
        <v>0.925958702064897</v>
      </c>
      <c r="S85" s="202">
        <f t="shared" ref="S85" si="142">S84/S100</f>
        <v>0.925958702064897</v>
      </c>
      <c r="T85" s="225"/>
      <c r="U85" s="16">
        <f>U84/U100</f>
        <v>0.926202569465193</v>
      </c>
      <c r="V85" s="16">
        <f>V84/V100</f>
        <v>0.926741031052156</v>
      </c>
      <c r="W85" s="202">
        <f t="shared" ref="W85" si="143">W84/W100</f>
        <v>0.926741031052156</v>
      </c>
      <c r="X85" s="225"/>
      <c r="Y85" s="16">
        <f>Y84/Y100</f>
        <v>0.947403462050599</v>
      </c>
      <c r="Z85" s="16">
        <f>Z84/Z100</f>
        <v>0.926</v>
      </c>
      <c r="AA85" s="270">
        <v>0.926</v>
      </c>
      <c r="AB85" s="271">
        <v>0.93</v>
      </c>
      <c r="AC85" s="271">
        <v>0.93</v>
      </c>
      <c r="AD85" s="271">
        <v>0.93</v>
      </c>
      <c r="AE85" s="271">
        <v>0.93</v>
      </c>
      <c r="AF85" s="271">
        <v>0.93</v>
      </c>
    </row>
    <row r="86" s="8" customFormat="1" ht="18.5" spans="3:32">
      <c r="C86" s="205" t="s">
        <v>18</v>
      </c>
      <c r="E86" s="201"/>
      <c r="F86" s="201"/>
      <c r="G86" s="202">
        <f>G84/F84-1</f>
        <v>0.426630434782609</v>
      </c>
      <c r="H86" s="202">
        <f t="shared" ref="H86:K86" si="144">H84/G84-1</f>
        <v>0.178095238095238</v>
      </c>
      <c r="I86" s="202">
        <f t="shared" si="144"/>
        <v>0.751818916734034</v>
      </c>
      <c r="J86" s="202">
        <f t="shared" si="144"/>
        <v>0.01661282879557</v>
      </c>
      <c r="K86" s="202">
        <f t="shared" si="144"/>
        <v>0.0876078075351794</v>
      </c>
      <c r="L86" s="225"/>
      <c r="M86" s="109"/>
      <c r="N86" s="109"/>
      <c r="O86" s="202">
        <f>O84/K84-1</f>
        <v>0.31636060100167</v>
      </c>
      <c r="P86" s="225"/>
      <c r="Q86" s="16">
        <f>Q84/M84-1</f>
        <v>0.0391389432485323</v>
      </c>
      <c r="R86" s="16">
        <f>R84/N84-1</f>
        <v>-0.00475586556753327</v>
      </c>
      <c r="S86" s="202">
        <f>S84/O84-1</f>
        <v>-0.00475586556753327</v>
      </c>
      <c r="T86" s="225"/>
      <c r="U86" s="16">
        <f>U84/Q84-1</f>
        <v>-0.0269930947897049</v>
      </c>
      <c r="V86" s="16">
        <f>V84/R84-1</f>
        <v>-0.0207072316024212</v>
      </c>
      <c r="W86" s="202">
        <f>W84/S84-1</f>
        <v>-0.0207072316024212</v>
      </c>
      <c r="X86" s="225"/>
      <c r="Y86" s="16">
        <f>Y84/U84-1</f>
        <v>0.377096774193548</v>
      </c>
      <c r="Z86" s="16">
        <f>Z84/V84-1</f>
        <v>0.04093690225183</v>
      </c>
      <c r="AA86" s="270">
        <f>AA84/W84-1</f>
        <v>0.04093690225183</v>
      </c>
      <c r="AB86" s="271">
        <f>AB84/AA84-1</f>
        <v>0.0252429805615551</v>
      </c>
      <c r="AC86" s="271">
        <f t="shared" ref="AC86:AF86" si="145">AC84/AB84-1</f>
        <v>0.0201904761904761</v>
      </c>
      <c r="AD86" s="271">
        <f t="shared" si="145"/>
        <v>0.0103809523809526</v>
      </c>
      <c r="AE86" s="271">
        <f t="shared" si="145"/>
        <v>0.000571428571428667</v>
      </c>
      <c r="AF86" s="271">
        <f t="shared" si="145"/>
        <v>-0.00923809523809527</v>
      </c>
    </row>
    <row r="87" s="8" customFormat="1" ht="18.5" spans="3:32">
      <c r="C87" s="205" t="s">
        <v>149</v>
      </c>
      <c r="E87" s="201"/>
      <c r="F87" s="201"/>
      <c r="G87" s="204">
        <f>G84-F84</f>
        <v>314</v>
      </c>
      <c r="H87" s="204">
        <f t="shared" ref="H87:K87" si="146">H84-G84</f>
        <v>187</v>
      </c>
      <c r="I87" s="204">
        <f t="shared" si="146"/>
        <v>930</v>
      </c>
      <c r="J87" s="204">
        <f t="shared" si="146"/>
        <v>36</v>
      </c>
      <c r="K87" s="204">
        <f t="shared" si="146"/>
        <v>193</v>
      </c>
      <c r="L87" s="225"/>
      <c r="M87" s="110">
        <f>M84-K84</f>
        <v>670</v>
      </c>
      <c r="N87" s="110">
        <f>N84-M84</f>
        <v>88</v>
      </c>
      <c r="O87" s="204">
        <f>O84-K84</f>
        <v>758</v>
      </c>
      <c r="P87" s="225"/>
      <c r="Q87" s="110">
        <f>Q84-O84</f>
        <v>32</v>
      </c>
      <c r="R87" s="110">
        <f>R84-Q84</f>
        <v>-47</v>
      </c>
      <c r="S87" s="204">
        <f>S84-O84</f>
        <v>-15</v>
      </c>
      <c r="T87" s="225"/>
      <c r="U87" s="110">
        <f>U84-S84</f>
        <v>-39</v>
      </c>
      <c r="V87" s="110">
        <f>V84-U84</f>
        <v>-26</v>
      </c>
      <c r="W87" s="204">
        <f>W84-S84</f>
        <v>-65</v>
      </c>
      <c r="X87" s="225"/>
      <c r="Y87" s="110">
        <f>Y84-W84</f>
        <v>1195</v>
      </c>
      <c r="Z87" s="110">
        <f>Z84-Y84</f>
        <v>-1069.15996247787</v>
      </c>
      <c r="AA87" s="267">
        <f>AA84-W84</f>
        <v>125.840037522125</v>
      </c>
      <c r="AB87" s="223">
        <f>AB84-AA84</f>
        <v>80.7734998672563</v>
      </c>
      <c r="AC87" s="223">
        <f t="shared" ref="AC87:AF87" si="147">AC84-AB84</f>
        <v>66.237149516814</v>
      </c>
      <c r="AD87" s="223">
        <f t="shared" si="147"/>
        <v>34.7434976069317</v>
      </c>
      <c r="AE87" s="223">
        <f t="shared" si="147"/>
        <v>1.93233953400795</v>
      </c>
      <c r="AF87" s="223">
        <f t="shared" si="147"/>
        <v>-31.257340269769</v>
      </c>
    </row>
    <row r="88" s="2" customFormat="1" ht="18.5" spans="3:32">
      <c r="C88" s="205"/>
      <c r="E88" s="204"/>
      <c r="F88" s="204"/>
      <c r="G88" s="204"/>
      <c r="H88" s="204"/>
      <c r="I88" s="204"/>
      <c r="J88" s="204"/>
      <c r="K88" s="204"/>
      <c r="L88" s="73"/>
      <c r="M88" s="73"/>
      <c r="N88" s="73"/>
      <c r="O88" s="223"/>
      <c r="P88" s="73"/>
      <c r="Q88" s="73"/>
      <c r="R88" s="73"/>
      <c r="S88" s="223"/>
      <c r="T88" s="73"/>
      <c r="U88" s="73"/>
      <c r="V88" s="73"/>
      <c r="W88" s="223"/>
      <c r="X88" s="73"/>
      <c r="Y88" s="73"/>
      <c r="Z88" s="73"/>
      <c r="AA88" s="272"/>
      <c r="AB88" s="258"/>
      <c r="AC88" s="193"/>
      <c r="AD88" s="193"/>
      <c r="AE88" s="193"/>
      <c r="AF88" s="193"/>
    </row>
    <row r="89" s="8" customFormat="1" ht="18.5" spans="3:32">
      <c r="C89" s="8" t="s">
        <v>150</v>
      </c>
      <c r="E89" s="201"/>
      <c r="F89" s="201"/>
      <c r="G89" s="201"/>
      <c r="H89" s="201"/>
      <c r="I89" s="201"/>
      <c r="J89" s="201"/>
      <c r="K89" s="201"/>
      <c r="L89" s="225"/>
      <c r="M89" s="225"/>
      <c r="N89" s="225"/>
      <c r="O89" s="260"/>
      <c r="P89" s="225"/>
      <c r="Q89" s="225"/>
      <c r="R89" s="225"/>
      <c r="S89" s="260"/>
      <c r="T89" s="225"/>
      <c r="U89" s="225"/>
      <c r="V89" s="225"/>
      <c r="W89" s="260"/>
      <c r="X89" s="225"/>
      <c r="Y89" s="225"/>
      <c r="Z89" s="225"/>
      <c r="AA89" s="273"/>
      <c r="AB89" s="266"/>
      <c r="AC89" s="206"/>
      <c r="AD89" s="206"/>
      <c r="AE89" s="206"/>
      <c r="AF89" s="206"/>
    </row>
    <row r="90" s="2" customFormat="1" ht="18.5" spans="3:32">
      <c r="C90" s="2" t="s">
        <v>142</v>
      </c>
      <c r="E90" s="204"/>
      <c r="F90" s="204">
        <v>184</v>
      </c>
      <c r="G90" s="204">
        <f>F95</f>
        <v>182</v>
      </c>
      <c r="H90" s="204">
        <f t="shared" ref="H90:K90" si="148">G95</f>
        <v>238</v>
      </c>
      <c r="I90" s="204">
        <f t="shared" si="148"/>
        <v>237</v>
      </c>
      <c r="J90" s="204">
        <f t="shared" si="148"/>
        <v>253</v>
      </c>
      <c r="K90" s="204">
        <f t="shared" si="148"/>
        <v>245</v>
      </c>
      <c r="L90" s="73"/>
      <c r="M90" s="73">
        <f>K95</f>
        <v>240</v>
      </c>
      <c r="N90" s="73">
        <f>O90</f>
        <v>240</v>
      </c>
      <c r="O90" s="204">
        <f>K95</f>
        <v>240</v>
      </c>
      <c r="P90" s="73"/>
      <c r="Q90" s="73">
        <f>O95</f>
        <v>248</v>
      </c>
      <c r="R90" s="73">
        <f>S90</f>
        <v>248</v>
      </c>
      <c r="S90" s="204">
        <f>O95</f>
        <v>248</v>
      </c>
      <c r="T90" s="73"/>
      <c r="U90" s="73">
        <f>S95</f>
        <v>251</v>
      </c>
      <c r="V90" s="73">
        <f>W90</f>
        <v>251</v>
      </c>
      <c r="W90" s="204">
        <f>S95</f>
        <v>251</v>
      </c>
      <c r="X90" s="73"/>
      <c r="Y90" s="73">
        <f>W95</f>
        <v>243</v>
      </c>
      <c r="Z90" s="73">
        <f>AA90</f>
        <v>255.710758938053</v>
      </c>
      <c r="AA90" s="268">
        <f>Z95</f>
        <v>255.710758938053</v>
      </c>
      <c r="AB90" s="223">
        <f>AA95</f>
        <v>255.710758938053</v>
      </c>
      <c r="AC90" s="223">
        <f t="shared" ref="AC90:AF90" si="149">AB95</f>
        <v>246.927900663717</v>
      </c>
      <c r="AD90" s="223">
        <f t="shared" si="149"/>
        <v>251.913492562832</v>
      </c>
      <c r="AE90" s="223">
        <f t="shared" si="149"/>
        <v>254.528594533246</v>
      </c>
      <c r="AF90" s="223">
        <f t="shared" si="149"/>
        <v>254.674039444408</v>
      </c>
    </row>
    <row r="91" s="2" customFormat="1" ht="18.5" spans="3:32">
      <c r="C91" s="88" t="s">
        <v>143</v>
      </c>
      <c r="E91" s="204"/>
      <c r="F91" s="204">
        <v>14</v>
      </c>
      <c r="G91" s="204">
        <v>10</v>
      </c>
      <c r="H91" s="204">
        <v>9</v>
      </c>
      <c r="I91" s="204">
        <v>9</v>
      </c>
      <c r="J91" s="204">
        <v>8</v>
      </c>
      <c r="K91" s="204">
        <v>2</v>
      </c>
      <c r="L91" s="73"/>
      <c r="M91" s="73">
        <v>0</v>
      </c>
      <c r="N91" s="73">
        <f t="shared" ref="N91:N95" si="150">O91</f>
        <v>4</v>
      </c>
      <c r="O91" s="204">
        <v>4</v>
      </c>
      <c r="P91" s="73"/>
      <c r="Q91" s="73">
        <v>9</v>
      </c>
      <c r="R91" s="73">
        <f t="shared" ref="R91:R95" si="151">S91</f>
        <v>11</v>
      </c>
      <c r="S91" s="204">
        <v>11</v>
      </c>
      <c r="T91" s="73"/>
      <c r="U91" s="73">
        <v>1</v>
      </c>
      <c r="V91" s="73">
        <f t="shared" ref="V91:V95" si="152">W91</f>
        <v>5</v>
      </c>
      <c r="W91" s="204">
        <v>5</v>
      </c>
      <c r="X91" s="73"/>
      <c r="Y91" s="73">
        <v>5</v>
      </c>
      <c r="Z91" s="73">
        <f t="shared" ref="Z91:Z95" si="153">AA91</f>
        <v>0</v>
      </c>
      <c r="AA91" s="268">
        <v>0</v>
      </c>
      <c r="AB91" s="268">
        <v>0</v>
      </c>
      <c r="AC91" s="268">
        <v>0</v>
      </c>
      <c r="AD91" s="268">
        <v>0</v>
      </c>
      <c r="AE91" s="268">
        <v>0</v>
      </c>
      <c r="AF91" s="268">
        <v>0</v>
      </c>
    </row>
    <row r="92" s="2" customFormat="1" ht="18.5" spans="3:32">
      <c r="C92" s="203" t="s">
        <v>144</v>
      </c>
      <c r="E92" s="204"/>
      <c r="F92" s="204">
        <v>2</v>
      </c>
      <c r="G92" s="204">
        <v>0</v>
      </c>
      <c r="H92" s="204">
        <v>1</v>
      </c>
      <c r="I92" s="204">
        <v>0</v>
      </c>
      <c r="J92" s="204">
        <v>0</v>
      </c>
      <c r="K92" s="204">
        <v>0</v>
      </c>
      <c r="L92" s="73"/>
      <c r="M92" s="73">
        <v>0</v>
      </c>
      <c r="N92" s="73">
        <f t="shared" si="150"/>
        <v>0</v>
      </c>
      <c r="O92" s="204">
        <v>0</v>
      </c>
      <c r="P92" s="73"/>
      <c r="Q92" s="73">
        <v>0</v>
      </c>
      <c r="R92" s="73">
        <f t="shared" si="151"/>
        <v>0</v>
      </c>
      <c r="S92" s="204">
        <v>0</v>
      </c>
      <c r="T92" s="73"/>
      <c r="U92" s="73">
        <v>0</v>
      </c>
      <c r="V92" s="73">
        <f t="shared" si="152"/>
        <v>0</v>
      </c>
      <c r="W92" s="204">
        <v>0</v>
      </c>
      <c r="X92" s="73"/>
      <c r="Y92" s="73">
        <v>0</v>
      </c>
      <c r="Z92" s="73">
        <f t="shared" si="153"/>
        <v>0</v>
      </c>
      <c r="AA92" s="268">
        <v>0</v>
      </c>
      <c r="AB92" s="268">
        <v>0</v>
      </c>
      <c r="AC92" s="268">
        <v>0</v>
      </c>
      <c r="AD92" s="268">
        <v>0</v>
      </c>
      <c r="AE92" s="268">
        <v>0</v>
      </c>
      <c r="AF92" s="268">
        <v>0</v>
      </c>
    </row>
    <row r="93" s="2" customFormat="1" ht="18.5" spans="3:32">
      <c r="C93" s="203" t="s">
        <v>145</v>
      </c>
      <c r="E93" s="204"/>
      <c r="F93" s="204">
        <v>0</v>
      </c>
      <c r="G93" s="204">
        <v>58</v>
      </c>
      <c r="H93" s="204">
        <v>0</v>
      </c>
      <c r="I93" s="204">
        <v>14</v>
      </c>
      <c r="J93" s="204">
        <v>0</v>
      </c>
      <c r="K93" s="204">
        <v>3</v>
      </c>
      <c r="L93" s="73"/>
      <c r="M93" s="73">
        <v>0</v>
      </c>
      <c r="N93" s="73">
        <f t="shared" si="150"/>
        <v>13</v>
      </c>
      <c r="O93" s="204">
        <v>13</v>
      </c>
      <c r="P93" s="73"/>
      <c r="Q93" s="73">
        <v>0</v>
      </c>
      <c r="R93" s="73">
        <f t="shared" si="151"/>
        <v>0</v>
      </c>
      <c r="S93" s="204">
        <v>0</v>
      </c>
      <c r="T93" s="73"/>
      <c r="U93" s="73">
        <v>0</v>
      </c>
      <c r="V93" s="73">
        <f t="shared" si="152"/>
        <v>0</v>
      </c>
      <c r="W93" s="204">
        <v>0</v>
      </c>
      <c r="X93" s="73"/>
      <c r="Y93" s="73">
        <v>0</v>
      </c>
      <c r="Z93" s="73">
        <f t="shared" si="153"/>
        <v>0</v>
      </c>
      <c r="AA93" s="268">
        <v>0</v>
      </c>
      <c r="AB93" s="268">
        <v>0</v>
      </c>
      <c r="AC93" s="268">
        <v>0</v>
      </c>
      <c r="AD93" s="268">
        <v>0</v>
      </c>
      <c r="AE93" s="268">
        <v>0</v>
      </c>
      <c r="AF93" s="268">
        <v>0</v>
      </c>
    </row>
    <row r="94" s="2" customFormat="1" ht="18.5" spans="3:32">
      <c r="C94" s="88" t="s">
        <v>146</v>
      </c>
      <c r="E94" s="204"/>
      <c r="F94" s="204">
        <v>-18</v>
      </c>
      <c r="G94" s="204">
        <v>-12</v>
      </c>
      <c r="H94" s="204">
        <v>-11</v>
      </c>
      <c r="I94" s="204">
        <v>-7</v>
      </c>
      <c r="J94" s="204">
        <v>-16</v>
      </c>
      <c r="K94" s="204">
        <v>-10</v>
      </c>
      <c r="L94" s="73"/>
      <c r="M94" s="73">
        <v>-2</v>
      </c>
      <c r="N94" s="73">
        <f t="shared" si="150"/>
        <v>-9</v>
      </c>
      <c r="O94" s="204">
        <v>-9</v>
      </c>
      <c r="P94" s="73"/>
      <c r="Q94" s="73">
        <v>-7</v>
      </c>
      <c r="R94" s="73">
        <f t="shared" si="151"/>
        <v>-8</v>
      </c>
      <c r="S94" s="204">
        <v>-8</v>
      </c>
      <c r="T94" s="73"/>
      <c r="U94" s="73">
        <v>-5</v>
      </c>
      <c r="V94" s="73">
        <f t="shared" si="152"/>
        <v>-13</v>
      </c>
      <c r="W94" s="204">
        <v>-13</v>
      </c>
      <c r="X94" s="73"/>
      <c r="Y94" s="73">
        <v>-11</v>
      </c>
      <c r="Z94" s="73">
        <f t="shared" si="153"/>
        <v>0</v>
      </c>
      <c r="AA94" s="268">
        <v>0</v>
      </c>
      <c r="AB94" s="268">
        <v>0</v>
      </c>
      <c r="AC94" s="268">
        <v>0</v>
      </c>
      <c r="AD94" s="268">
        <v>0</v>
      </c>
      <c r="AE94" s="268">
        <v>0</v>
      </c>
      <c r="AF94" s="268">
        <v>0</v>
      </c>
    </row>
    <row r="95" s="8" customFormat="1" ht="18.5" spans="3:32">
      <c r="C95" s="255" t="s">
        <v>147</v>
      </c>
      <c r="E95" s="201"/>
      <c r="F95" s="201">
        <f>F90+F91+F92+F94+F93</f>
        <v>182</v>
      </c>
      <c r="G95" s="201">
        <f>G90+G91+G92+G94+G93</f>
        <v>238</v>
      </c>
      <c r="H95" s="201">
        <f t="shared" ref="H95:K95" si="154">H90+H91+H92+H94+H93</f>
        <v>237</v>
      </c>
      <c r="I95" s="201">
        <f t="shared" si="154"/>
        <v>253</v>
      </c>
      <c r="J95" s="201">
        <f t="shared" si="154"/>
        <v>245</v>
      </c>
      <c r="K95" s="201">
        <f t="shared" si="154"/>
        <v>240</v>
      </c>
      <c r="L95" s="225"/>
      <c r="M95" s="109">
        <f t="shared" ref="M95" si="155">M90+M91+M92+M94+M93</f>
        <v>238</v>
      </c>
      <c r="N95" s="225">
        <f t="shared" si="150"/>
        <v>248</v>
      </c>
      <c r="O95" s="201">
        <f t="shared" ref="O95" si="156">O90+O91+O92+O94+O93</f>
        <v>248</v>
      </c>
      <c r="P95" s="225"/>
      <c r="Q95" s="109">
        <f t="shared" ref="Q95" si="157">Q90+Q91+Q92+Q94+Q93</f>
        <v>250</v>
      </c>
      <c r="R95" s="225">
        <f t="shared" si="151"/>
        <v>251</v>
      </c>
      <c r="S95" s="201">
        <f t="shared" ref="S95" si="158">S90+S91+S92+S94+S93</f>
        <v>251</v>
      </c>
      <c r="T95" s="225"/>
      <c r="U95" s="109">
        <f t="shared" ref="U95:Y95" si="159">U90+U91+U92+U94+U93</f>
        <v>247</v>
      </c>
      <c r="V95" s="225">
        <f t="shared" si="152"/>
        <v>243</v>
      </c>
      <c r="W95" s="201">
        <f t="shared" si="159"/>
        <v>243</v>
      </c>
      <c r="X95" s="225"/>
      <c r="Y95" s="109">
        <f t="shared" si="159"/>
        <v>237</v>
      </c>
      <c r="Z95" s="225">
        <f t="shared" si="153"/>
        <v>255.710758938053</v>
      </c>
      <c r="AA95" s="269">
        <f>AA96*AA100</f>
        <v>255.710758938053</v>
      </c>
      <c r="AB95" s="260">
        <f>AB96*AB100</f>
        <v>246.927900663717</v>
      </c>
      <c r="AC95" s="260">
        <f t="shared" ref="AC95:AF95" si="160">AC96*AC100</f>
        <v>251.913492562832</v>
      </c>
      <c r="AD95" s="260">
        <f t="shared" si="160"/>
        <v>254.528594533246</v>
      </c>
      <c r="AE95" s="260">
        <f t="shared" si="160"/>
        <v>254.674039444408</v>
      </c>
      <c r="AF95" s="260">
        <f t="shared" si="160"/>
        <v>252.32133641335</v>
      </c>
    </row>
    <row r="96" s="8" customFormat="1" ht="18.5" spans="3:32">
      <c r="C96" s="205" t="s">
        <v>148</v>
      </c>
      <c r="E96" s="201"/>
      <c r="F96" s="202">
        <f>F95/F100</f>
        <v>0.198257080610022</v>
      </c>
      <c r="G96" s="202">
        <f t="shared" ref="G96:K96" si="161">G95/G100</f>
        <v>0.184782608695652</v>
      </c>
      <c r="H96" s="202">
        <f t="shared" si="161"/>
        <v>0.16078697421981</v>
      </c>
      <c r="I96" s="202">
        <f t="shared" si="161"/>
        <v>0.104545454545455</v>
      </c>
      <c r="J96" s="202">
        <f t="shared" si="161"/>
        <v>0.100081699346405</v>
      </c>
      <c r="K96" s="202">
        <f t="shared" si="161"/>
        <v>0.0910470409711684</v>
      </c>
      <c r="L96" s="225"/>
      <c r="M96" s="109"/>
      <c r="N96" s="64">
        <f>N95/N100</f>
        <v>0.0728982951205173</v>
      </c>
      <c r="O96" s="202">
        <f t="shared" ref="O96" si="162">O95/O100</f>
        <v>0.0728982951205173</v>
      </c>
      <c r="P96" s="225"/>
      <c r="Q96" s="16">
        <f>Q95/Q100</f>
        <v>0.0727590221187427</v>
      </c>
      <c r="R96" s="64">
        <f>R95/R100</f>
        <v>0.0740412979351033</v>
      </c>
      <c r="S96" s="202">
        <f t="shared" ref="S96" si="163">S95/S100</f>
        <v>0.0740412979351033</v>
      </c>
      <c r="T96" s="225"/>
      <c r="U96" s="16">
        <f>U95/U100</f>
        <v>0.0737974305348073</v>
      </c>
      <c r="V96" s="64">
        <f>V95/V100</f>
        <v>0.0732589689478444</v>
      </c>
      <c r="W96" s="202">
        <f t="shared" ref="W96" si="164">W95/W100</f>
        <v>0.0732589689478444</v>
      </c>
      <c r="X96" s="225"/>
      <c r="Y96" s="16">
        <f>Y95/Y100</f>
        <v>0.0525965379494008</v>
      </c>
      <c r="Z96" s="64">
        <f>Z95/Z100</f>
        <v>0.074</v>
      </c>
      <c r="AA96" s="270">
        <f>1-AA85</f>
        <v>0.074</v>
      </c>
      <c r="AB96" s="258">
        <v>0.07</v>
      </c>
      <c r="AC96" s="258">
        <v>0.07</v>
      </c>
      <c r="AD96" s="258">
        <v>0.07</v>
      </c>
      <c r="AE96" s="258">
        <v>0.07</v>
      </c>
      <c r="AF96" s="258">
        <v>0.07</v>
      </c>
    </row>
    <row r="97" s="8" customFormat="1" ht="18.5" spans="3:32">
      <c r="C97" s="205" t="s">
        <v>18</v>
      </c>
      <c r="E97" s="201"/>
      <c r="F97" s="201"/>
      <c r="G97" s="202">
        <f>G95/F95-1</f>
        <v>0.307692307692308</v>
      </c>
      <c r="H97" s="202">
        <f t="shared" ref="H97:K97" si="165">H95/G95-1</f>
        <v>-0.00420168067226889</v>
      </c>
      <c r="I97" s="202">
        <f t="shared" si="165"/>
        <v>0.0675105485232068</v>
      </c>
      <c r="J97" s="202">
        <f t="shared" si="165"/>
        <v>-0.0316205533596838</v>
      </c>
      <c r="K97" s="202">
        <f t="shared" si="165"/>
        <v>-0.0204081632653061</v>
      </c>
      <c r="L97" s="225"/>
      <c r="M97" s="109"/>
      <c r="N97" s="73"/>
      <c r="O97" s="202">
        <f>O95/K95-1</f>
        <v>0.0333333333333334</v>
      </c>
      <c r="P97" s="225"/>
      <c r="Q97" s="16">
        <f>Q95/M95-1</f>
        <v>0.0504201680672269</v>
      </c>
      <c r="R97" s="16">
        <f>R95/N95-1</f>
        <v>0.0120967741935485</v>
      </c>
      <c r="S97" s="202">
        <f>S95/O95-1</f>
        <v>0.0120967741935485</v>
      </c>
      <c r="T97" s="225"/>
      <c r="U97" s="16">
        <f>U95/Q95-1</f>
        <v>-0.012</v>
      </c>
      <c r="V97" s="16">
        <f>V95/R95-1</f>
        <v>-0.0318725099601593</v>
      </c>
      <c r="W97" s="202">
        <f>W95/S95-1</f>
        <v>-0.0318725099601593</v>
      </c>
      <c r="X97" s="225"/>
      <c r="Y97" s="16">
        <f>Y95/U95-1</f>
        <v>-0.0404858299595142</v>
      </c>
      <c r="Z97" s="16">
        <f>Z95/W95-1</f>
        <v>0.0523076499508355</v>
      </c>
      <c r="AA97" s="270">
        <f>AA95/W95-1</f>
        <v>0.0523076499508355</v>
      </c>
      <c r="AB97" s="271">
        <f>AB95/AA95-1</f>
        <v>-0.0343468468468462</v>
      </c>
      <c r="AC97" s="271">
        <f t="shared" ref="AC97:AF97" si="166">AC95/AB95-1</f>
        <v>0.0201904761904761</v>
      </c>
      <c r="AD97" s="271">
        <f t="shared" si="166"/>
        <v>0.0103809523809526</v>
      </c>
      <c r="AE97" s="271">
        <f t="shared" si="166"/>
        <v>0.000571428571428667</v>
      </c>
      <c r="AF97" s="271">
        <f t="shared" si="166"/>
        <v>-0.00923809523809527</v>
      </c>
    </row>
    <row r="98" s="8" customFormat="1" ht="18.5" spans="3:32">
      <c r="C98" s="205" t="s">
        <v>149</v>
      </c>
      <c r="E98" s="201"/>
      <c r="F98" s="201"/>
      <c r="G98" s="204">
        <f>G95-F95</f>
        <v>56</v>
      </c>
      <c r="H98" s="204">
        <f t="shared" ref="H98:K98" si="167">H95-G95</f>
        <v>-1</v>
      </c>
      <c r="I98" s="204">
        <f t="shared" si="167"/>
        <v>16</v>
      </c>
      <c r="J98" s="204">
        <f t="shared" si="167"/>
        <v>-8</v>
      </c>
      <c r="K98" s="204">
        <f t="shared" si="167"/>
        <v>-5</v>
      </c>
      <c r="L98" s="225"/>
      <c r="M98" s="110">
        <f>M95-K95</f>
        <v>-2</v>
      </c>
      <c r="N98" s="73">
        <f>N95-M95</f>
        <v>10</v>
      </c>
      <c r="O98" s="204">
        <f>O95-K95</f>
        <v>8</v>
      </c>
      <c r="P98" s="225"/>
      <c r="Q98" s="110">
        <f>Q95-O95</f>
        <v>2</v>
      </c>
      <c r="R98" s="73">
        <f>R95-Q95</f>
        <v>1</v>
      </c>
      <c r="S98" s="204">
        <f>S95-O95</f>
        <v>3</v>
      </c>
      <c r="T98" s="225"/>
      <c r="U98" s="110">
        <f>U95-S95</f>
        <v>-4</v>
      </c>
      <c r="V98" s="73">
        <f>V95-U95</f>
        <v>-4</v>
      </c>
      <c r="W98" s="204">
        <f>W95-S95</f>
        <v>-8</v>
      </c>
      <c r="X98" s="225"/>
      <c r="Y98" s="110">
        <f>Y95-W95</f>
        <v>-6</v>
      </c>
      <c r="Z98" s="73" t="e">
        <f>Z95-#REF!</f>
        <v>#REF!</v>
      </c>
      <c r="AA98" s="204">
        <f>AA95-W95</f>
        <v>12.710758938053</v>
      </c>
      <c r="AB98" s="223">
        <f>AB95-AA95</f>
        <v>-8.78285827433612</v>
      </c>
      <c r="AC98" s="223">
        <f t="shared" ref="AC98:AF98" si="168">AC95-AB95</f>
        <v>4.98559189911504</v>
      </c>
      <c r="AD98" s="223">
        <f t="shared" si="168"/>
        <v>2.6151019704142</v>
      </c>
      <c r="AE98" s="223">
        <f t="shared" si="168"/>
        <v>0.145444911161889</v>
      </c>
      <c r="AF98" s="223">
        <f t="shared" si="168"/>
        <v>-2.35270303105787</v>
      </c>
    </row>
    <row r="99" s="2" customFormat="1" ht="18.5" spans="3:32">
      <c r="C99" s="205"/>
      <c r="E99" s="204"/>
      <c r="F99" s="204"/>
      <c r="G99" s="204"/>
      <c r="H99" s="204"/>
      <c r="I99" s="204"/>
      <c r="J99" s="204"/>
      <c r="K99" s="204"/>
      <c r="L99" s="73"/>
      <c r="M99" s="73"/>
      <c r="N99" s="73"/>
      <c r="O99" s="204"/>
      <c r="P99" s="73"/>
      <c r="Q99" s="73"/>
      <c r="R99" s="73"/>
      <c r="S99" s="204"/>
      <c r="T99" s="73"/>
      <c r="U99" s="73"/>
      <c r="V99" s="73"/>
      <c r="W99" s="204"/>
      <c r="X99" s="73"/>
      <c r="Y99" s="73"/>
      <c r="Z99" s="73"/>
      <c r="AA99" s="272"/>
      <c r="AB99" s="258"/>
      <c r="AC99" s="193"/>
      <c r="AD99" s="193"/>
      <c r="AE99" s="193"/>
      <c r="AF99" s="193"/>
    </row>
    <row r="100" s="8" customFormat="1" ht="18.5" spans="3:32">
      <c r="C100" s="256" t="s">
        <v>151</v>
      </c>
      <c r="D100" s="208"/>
      <c r="E100" s="209"/>
      <c r="F100" s="209">
        <f>F84+F95</f>
        <v>918</v>
      </c>
      <c r="G100" s="209">
        <f t="shared" ref="G100:K100" si="169">G84+G95</f>
        <v>1288</v>
      </c>
      <c r="H100" s="209">
        <f t="shared" si="169"/>
        <v>1474</v>
      </c>
      <c r="I100" s="209">
        <f t="shared" si="169"/>
        <v>2420</v>
      </c>
      <c r="J100" s="209">
        <f t="shared" si="169"/>
        <v>2448</v>
      </c>
      <c r="K100" s="209">
        <f t="shared" si="169"/>
        <v>2636</v>
      </c>
      <c r="L100" s="261"/>
      <c r="M100" s="222">
        <f t="shared" ref="M100:N100" si="170">M84+M95</f>
        <v>3304</v>
      </c>
      <c r="N100" s="222">
        <f t="shared" si="170"/>
        <v>3402</v>
      </c>
      <c r="O100" s="209">
        <f t="shared" ref="O100" si="171">O84+O95</f>
        <v>3402</v>
      </c>
      <c r="P100" s="261"/>
      <c r="Q100" s="222">
        <f t="shared" ref="Q100:R100" si="172">Q84+Q95</f>
        <v>3436</v>
      </c>
      <c r="R100" s="222">
        <f t="shared" si="172"/>
        <v>3390</v>
      </c>
      <c r="S100" s="209">
        <f t="shared" ref="S100" si="173">S84+S95</f>
        <v>3390</v>
      </c>
      <c r="T100" s="261"/>
      <c r="U100" s="222">
        <f t="shared" ref="U100:Y100" si="174">U84+U95</f>
        <v>3347</v>
      </c>
      <c r="V100" s="222">
        <f t="shared" si="174"/>
        <v>3317</v>
      </c>
      <c r="W100" s="209">
        <f t="shared" si="174"/>
        <v>3317</v>
      </c>
      <c r="X100" s="261"/>
      <c r="Y100" s="222">
        <f t="shared" si="174"/>
        <v>4506</v>
      </c>
      <c r="Z100" s="222">
        <f t="shared" ref="Z100" si="175">Z84+Z95</f>
        <v>3455.55079646018</v>
      </c>
      <c r="AA100" s="274">
        <f t="shared" ref="AA100:AF100" si="176">AA59/AA142</f>
        <v>3455.55079646018</v>
      </c>
      <c r="AB100" s="274">
        <f t="shared" si="176"/>
        <v>3527.5414380531</v>
      </c>
      <c r="AC100" s="274">
        <f t="shared" si="176"/>
        <v>3598.76417946903</v>
      </c>
      <c r="AD100" s="274">
        <f t="shared" si="176"/>
        <v>3636.12277904637</v>
      </c>
      <c r="AE100" s="274">
        <f t="shared" si="176"/>
        <v>3638.20056349154</v>
      </c>
      <c r="AF100" s="274">
        <f t="shared" si="176"/>
        <v>3604.59052019072</v>
      </c>
    </row>
    <row r="101" s="8" customFormat="1" ht="18.5" spans="3:32">
      <c r="C101" s="205" t="s">
        <v>18</v>
      </c>
      <c r="E101" s="201"/>
      <c r="F101" s="201"/>
      <c r="G101" s="202">
        <f>G100/F100-1</f>
        <v>0.403050108932462</v>
      </c>
      <c r="H101" s="202">
        <f t="shared" ref="H101:K101" si="177">H100/G100-1</f>
        <v>0.144409937888199</v>
      </c>
      <c r="I101" s="202">
        <f t="shared" si="177"/>
        <v>0.641791044776119</v>
      </c>
      <c r="J101" s="202">
        <f t="shared" si="177"/>
        <v>0.0115702479338844</v>
      </c>
      <c r="K101" s="202">
        <f t="shared" si="177"/>
        <v>0.076797385620915</v>
      </c>
      <c r="L101" s="225"/>
      <c r="M101" s="109"/>
      <c r="N101" s="109"/>
      <c r="O101" s="202">
        <f>O100/K100-1</f>
        <v>0.290591805766313</v>
      </c>
      <c r="P101" s="225"/>
      <c r="Q101" s="16">
        <f>Q100/M100-1</f>
        <v>0.039951573849879</v>
      </c>
      <c r="R101" s="16">
        <f>R100/N100-1</f>
        <v>-0.00352733686067019</v>
      </c>
      <c r="S101" s="202">
        <f>S100/O100-1</f>
        <v>-0.00352733686067019</v>
      </c>
      <c r="T101" s="225"/>
      <c r="U101" s="16">
        <f>U100/Q100-1</f>
        <v>-0.0259022118742724</v>
      </c>
      <c r="V101" s="16">
        <f>V100/R100-1</f>
        <v>-0.0215339233038349</v>
      </c>
      <c r="W101" s="202">
        <f>W100/S100-1</f>
        <v>-0.0215339233038349</v>
      </c>
      <c r="X101" s="225"/>
      <c r="Y101" s="16">
        <f>Y100/U100-1</f>
        <v>0.346280250971019</v>
      </c>
      <c r="Z101" s="16">
        <f>Z100/W100-1</f>
        <v>0.0417699115044252</v>
      </c>
      <c r="AA101" s="270">
        <f>AA100/W100-1</f>
        <v>0.0417699115044252</v>
      </c>
      <c r="AB101" s="271">
        <f>AB100/AA100-1</f>
        <v>0.0208333333333333</v>
      </c>
      <c r="AC101" s="271">
        <f t="shared" ref="AC101:AF101" si="178">AC100/AB100-1</f>
        <v>0.0201904761904761</v>
      </c>
      <c r="AD101" s="271">
        <f t="shared" si="178"/>
        <v>0.0103809523809526</v>
      </c>
      <c r="AE101" s="271">
        <f t="shared" si="178"/>
        <v>0.000571428571428667</v>
      </c>
      <c r="AF101" s="271">
        <f t="shared" si="178"/>
        <v>-0.00923809523809527</v>
      </c>
    </row>
    <row r="102" s="8" customFormat="1" ht="18.5" spans="3:32">
      <c r="C102" s="205" t="s">
        <v>149</v>
      </c>
      <c r="E102" s="201"/>
      <c r="F102" s="201"/>
      <c r="G102" s="204">
        <f>G100-F100</f>
        <v>370</v>
      </c>
      <c r="H102" s="204">
        <f t="shared" ref="H102:K102" si="179">H100-G100</f>
        <v>186</v>
      </c>
      <c r="I102" s="204">
        <f t="shared" si="179"/>
        <v>946</v>
      </c>
      <c r="J102" s="204">
        <f t="shared" si="179"/>
        <v>28</v>
      </c>
      <c r="K102" s="204">
        <f t="shared" si="179"/>
        <v>188</v>
      </c>
      <c r="L102" s="225"/>
      <c r="M102" s="110">
        <f>M100-K100</f>
        <v>668</v>
      </c>
      <c r="N102" s="110">
        <f>N100-M100</f>
        <v>98</v>
      </c>
      <c r="O102" s="204">
        <f>O100-K100</f>
        <v>766</v>
      </c>
      <c r="P102" s="225"/>
      <c r="Q102" s="110">
        <f>Q100-O100</f>
        <v>34</v>
      </c>
      <c r="R102" s="110">
        <f>R100-Q100</f>
        <v>-46</v>
      </c>
      <c r="S102" s="204">
        <f>S100-O100</f>
        <v>-12</v>
      </c>
      <c r="T102" s="225"/>
      <c r="U102" s="110">
        <f>U100-S100</f>
        <v>-43</v>
      </c>
      <c r="V102" s="110">
        <f>V100-U100</f>
        <v>-30</v>
      </c>
      <c r="W102" s="204">
        <f>W100-S100</f>
        <v>-73</v>
      </c>
      <c r="X102" s="225"/>
      <c r="Y102" s="110">
        <f>Y100-V100</f>
        <v>1189</v>
      </c>
      <c r="Z102" s="110">
        <f>Z100-Y100</f>
        <v>-1050.44920353982</v>
      </c>
      <c r="AA102" s="267">
        <f>AA100-W100</f>
        <v>138.550796460178</v>
      </c>
      <c r="AB102" s="223">
        <f>AB100-AA100</f>
        <v>71.9906415929199</v>
      </c>
      <c r="AC102" s="223">
        <f t="shared" ref="AC102:AF102" si="180">AC100-AB100</f>
        <v>71.2227414159292</v>
      </c>
      <c r="AD102" s="223">
        <f t="shared" si="180"/>
        <v>37.3585995773456</v>
      </c>
      <c r="AE102" s="223">
        <f t="shared" si="180"/>
        <v>2.07778444516998</v>
      </c>
      <c r="AF102" s="223">
        <f t="shared" si="180"/>
        <v>-33.6100433008269</v>
      </c>
    </row>
    <row r="103" s="2" customFormat="1" ht="18.5" spans="3:32">
      <c r="C103" s="8"/>
      <c r="E103" s="204"/>
      <c r="F103" s="204"/>
      <c r="G103" s="204"/>
      <c r="H103" s="204"/>
      <c r="I103" s="204"/>
      <c r="J103" s="204"/>
      <c r="K103" s="204"/>
      <c r="L103" s="73"/>
      <c r="M103" s="73"/>
      <c r="N103" s="73"/>
      <c r="O103" s="223"/>
      <c r="P103" s="73"/>
      <c r="Q103" s="73"/>
      <c r="R103" s="73"/>
      <c r="S103" s="223"/>
      <c r="T103" s="73"/>
      <c r="U103" s="73"/>
      <c r="V103" s="73"/>
      <c r="W103" s="223"/>
      <c r="X103" s="73"/>
      <c r="Y103" s="73"/>
      <c r="Z103" s="257"/>
      <c r="AA103" s="263"/>
      <c r="AB103" s="258"/>
      <c r="AC103" s="193"/>
      <c r="AD103" s="193"/>
      <c r="AE103" s="193"/>
      <c r="AF103" s="193"/>
    </row>
    <row r="104" s="8" customFormat="1" ht="18.5" spans="3:32">
      <c r="C104" s="8" t="s">
        <v>152</v>
      </c>
      <c r="E104" s="201"/>
      <c r="F104" s="201"/>
      <c r="G104" s="201"/>
      <c r="H104" s="201"/>
      <c r="I104" s="201"/>
      <c r="J104" s="201"/>
      <c r="K104" s="201"/>
      <c r="L104" s="225"/>
      <c r="M104" s="225"/>
      <c r="N104" s="225"/>
      <c r="O104" s="260"/>
      <c r="P104" s="225"/>
      <c r="Q104" s="225"/>
      <c r="R104" s="225"/>
      <c r="S104" s="260"/>
      <c r="T104" s="225"/>
      <c r="U104" s="225"/>
      <c r="V104" s="225"/>
      <c r="W104" s="260"/>
      <c r="X104" s="225"/>
      <c r="Y104" s="225"/>
      <c r="Z104" s="275"/>
      <c r="AA104" s="265"/>
      <c r="AB104" s="266"/>
      <c r="AC104" s="206"/>
      <c r="AD104" s="206"/>
      <c r="AE104" s="206"/>
      <c r="AF104" s="206"/>
    </row>
    <row r="105" s="2" customFormat="1" ht="18.5" spans="3:32">
      <c r="C105" s="2" t="s">
        <v>142</v>
      </c>
      <c r="E105" s="204"/>
      <c r="F105" s="204">
        <v>2511</v>
      </c>
      <c r="G105" s="204">
        <f>F112</f>
        <v>2858</v>
      </c>
      <c r="H105" s="204">
        <f t="shared" ref="H105:I105" si="181">G112</f>
        <v>4262</v>
      </c>
      <c r="I105" s="204">
        <f t="shared" si="181"/>
        <v>5598</v>
      </c>
      <c r="J105" s="204"/>
      <c r="K105" s="204"/>
      <c r="L105" s="73"/>
      <c r="M105" s="73"/>
      <c r="N105" s="73"/>
      <c r="O105" s="223"/>
      <c r="P105" s="73"/>
      <c r="Q105" s="73"/>
      <c r="R105" s="73"/>
      <c r="S105" s="223"/>
      <c r="T105" s="73"/>
      <c r="U105" s="73"/>
      <c r="V105" s="73"/>
      <c r="W105" s="223"/>
      <c r="X105" s="73"/>
      <c r="Y105" s="73"/>
      <c r="Z105" s="257"/>
      <c r="AA105" s="263"/>
      <c r="AB105" s="258"/>
      <c r="AC105" s="193"/>
      <c r="AD105" s="193"/>
      <c r="AE105" s="193"/>
      <c r="AF105" s="193"/>
    </row>
    <row r="106" s="2" customFormat="1" ht="18.5" spans="3:32">
      <c r="C106" s="88" t="s">
        <v>143</v>
      </c>
      <c r="E106" s="204"/>
      <c r="F106" s="204">
        <v>410</v>
      </c>
      <c r="G106" s="204">
        <v>383</v>
      </c>
      <c r="H106" s="204">
        <v>452</v>
      </c>
      <c r="I106" s="204">
        <v>455</v>
      </c>
      <c r="J106" s="204"/>
      <c r="K106" s="204"/>
      <c r="L106" s="73"/>
      <c r="M106" s="73"/>
      <c r="N106" s="73"/>
      <c r="O106" s="204"/>
      <c r="P106" s="73"/>
      <c r="Q106" s="73"/>
      <c r="R106" s="73"/>
      <c r="S106" s="204"/>
      <c r="T106" s="73"/>
      <c r="U106" s="73"/>
      <c r="V106" s="73"/>
      <c r="W106" s="204"/>
      <c r="X106" s="73"/>
      <c r="Y106" s="73"/>
      <c r="Z106" s="257"/>
      <c r="AA106" s="276"/>
      <c r="AB106" s="258"/>
      <c r="AC106" s="193"/>
      <c r="AD106" s="193"/>
      <c r="AE106" s="193"/>
      <c r="AF106" s="193"/>
    </row>
    <row r="107" s="2" customFormat="1" ht="18.5" spans="3:32">
      <c r="C107" s="203" t="s">
        <v>153</v>
      </c>
      <c r="E107" s="204"/>
      <c r="F107" s="204">
        <v>22</v>
      </c>
      <c r="G107" s="204">
        <v>22</v>
      </c>
      <c r="H107" s="204">
        <v>33</v>
      </c>
      <c r="I107" s="204">
        <v>0</v>
      </c>
      <c r="J107" s="204"/>
      <c r="K107" s="204"/>
      <c r="L107" s="73"/>
      <c r="M107" s="73"/>
      <c r="N107" s="73"/>
      <c r="O107" s="204"/>
      <c r="P107" s="73"/>
      <c r="Q107" s="73"/>
      <c r="R107" s="73"/>
      <c r="S107" s="204"/>
      <c r="T107" s="73"/>
      <c r="U107" s="73"/>
      <c r="V107" s="73"/>
      <c r="W107" s="204"/>
      <c r="X107" s="73"/>
      <c r="Y107" s="73"/>
      <c r="Z107" s="257"/>
      <c r="AA107" s="263"/>
      <c r="AB107" s="258"/>
      <c r="AC107" s="193"/>
      <c r="AD107" s="193"/>
      <c r="AE107" s="193"/>
      <c r="AF107" s="193"/>
    </row>
    <row r="108" s="2" customFormat="1" ht="18.5" spans="3:32">
      <c r="C108" s="88" t="s">
        <v>144</v>
      </c>
      <c r="E108" s="204"/>
      <c r="F108" s="204">
        <v>-5</v>
      </c>
      <c r="G108" s="204">
        <v>0</v>
      </c>
      <c r="H108" s="204">
        <v>-1</v>
      </c>
      <c r="I108" s="204">
        <v>0</v>
      </c>
      <c r="J108" s="204"/>
      <c r="K108" s="204"/>
      <c r="L108" s="73"/>
      <c r="M108" s="73"/>
      <c r="N108" s="73"/>
      <c r="O108" s="204"/>
      <c r="P108" s="73"/>
      <c r="Q108" s="73"/>
      <c r="R108" s="73"/>
      <c r="S108" s="204"/>
      <c r="T108" s="73"/>
      <c r="U108" s="73"/>
      <c r="V108" s="73"/>
      <c r="W108" s="204"/>
      <c r="X108" s="73"/>
      <c r="Y108" s="73">
        <v>197361</v>
      </c>
      <c r="Z108" s="257"/>
      <c r="AA108" s="263"/>
      <c r="AB108" s="258"/>
      <c r="AC108" s="193"/>
      <c r="AD108" s="193"/>
      <c r="AE108" s="193"/>
      <c r="AF108" s="193"/>
    </row>
    <row r="109" s="2" customFormat="1" ht="18.5" spans="3:32">
      <c r="C109" s="203" t="s">
        <v>145</v>
      </c>
      <c r="E109" s="204"/>
      <c r="F109" s="204">
        <v>0</v>
      </c>
      <c r="G109" s="204">
        <v>1221</v>
      </c>
      <c r="H109" s="204">
        <v>1235</v>
      </c>
      <c r="I109" s="204">
        <v>2240</v>
      </c>
      <c r="J109" s="204"/>
      <c r="K109" s="204"/>
      <c r="L109" s="73"/>
      <c r="M109" s="73"/>
      <c r="N109" s="73"/>
      <c r="O109" s="204"/>
      <c r="P109" s="73"/>
      <c r="Q109" s="73"/>
      <c r="R109" s="73"/>
      <c r="S109" s="204"/>
      <c r="T109" s="73"/>
      <c r="U109" s="73"/>
      <c r="V109" s="73"/>
      <c r="W109" s="204"/>
      <c r="X109" s="73"/>
      <c r="Y109" s="73"/>
      <c r="Z109" s="257"/>
      <c r="AA109" s="263"/>
      <c r="AB109" s="258"/>
      <c r="AC109" s="193"/>
      <c r="AD109" s="193"/>
      <c r="AE109" s="193"/>
      <c r="AF109" s="193"/>
    </row>
    <row r="110" s="2" customFormat="1" ht="18.5" spans="3:32">
      <c r="C110" s="88" t="s">
        <v>146</v>
      </c>
      <c r="E110" s="204"/>
      <c r="F110" s="204">
        <v>-80</v>
      </c>
      <c r="G110" s="204">
        <v>-222</v>
      </c>
      <c r="H110" s="204">
        <v>-275</v>
      </c>
      <c r="I110" s="204">
        <v>-402</v>
      </c>
      <c r="J110" s="204"/>
      <c r="K110" s="204"/>
      <c r="L110" s="73"/>
      <c r="M110" s="73"/>
      <c r="N110" s="73"/>
      <c r="O110" s="223"/>
      <c r="P110" s="73"/>
      <c r="Q110" s="73"/>
      <c r="R110" s="73"/>
      <c r="S110" s="223"/>
      <c r="T110" s="73"/>
      <c r="U110" s="73"/>
      <c r="V110" s="73"/>
      <c r="W110" s="223"/>
      <c r="X110" s="73"/>
      <c r="Y110" s="73"/>
      <c r="Z110" s="257"/>
      <c r="AA110" s="263"/>
      <c r="AB110" s="258"/>
      <c r="AC110" s="193"/>
      <c r="AD110" s="193"/>
      <c r="AE110" s="193"/>
      <c r="AF110" s="193"/>
    </row>
    <row r="111" s="2" customFormat="1" ht="18.5" spans="3:32">
      <c r="C111" s="88" t="s">
        <v>154</v>
      </c>
      <c r="E111" s="204"/>
      <c r="F111" s="204">
        <v>0</v>
      </c>
      <c r="G111" s="204">
        <v>0</v>
      </c>
      <c r="H111" s="204">
        <v>-108</v>
      </c>
      <c r="I111" s="204">
        <v>18</v>
      </c>
      <c r="J111" s="204"/>
      <c r="K111" s="204"/>
      <c r="L111" s="73"/>
      <c r="M111" s="73"/>
      <c r="N111" s="73"/>
      <c r="O111" s="223"/>
      <c r="P111" s="73"/>
      <c r="Q111" s="73"/>
      <c r="R111" s="73"/>
      <c r="S111" s="223"/>
      <c r="T111" s="73"/>
      <c r="U111" s="73"/>
      <c r="V111" s="73"/>
      <c r="W111" s="223"/>
      <c r="X111" s="73"/>
      <c r="Y111" s="73"/>
      <c r="Z111" s="257"/>
      <c r="AA111" s="263"/>
      <c r="AB111" s="258"/>
      <c r="AC111" s="193"/>
      <c r="AD111" s="193"/>
      <c r="AE111" s="193"/>
      <c r="AF111" s="193"/>
    </row>
    <row r="112" s="8" customFormat="1" ht="18.5" spans="3:32">
      <c r="C112" s="255" t="s">
        <v>147</v>
      </c>
      <c r="E112" s="201"/>
      <c r="F112" s="201">
        <f>F105+F106+F107+F108+F110+F109+F111</f>
        <v>2858</v>
      </c>
      <c r="G112" s="201">
        <f t="shared" ref="G112:I112" si="182">G105+G106+G107+G108+G110+G109+G111</f>
        <v>4262</v>
      </c>
      <c r="H112" s="201">
        <f t="shared" si="182"/>
        <v>5598</v>
      </c>
      <c r="I112" s="201">
        <f t="shared" si="182"/>
        <v>7909</v>
      </c>
      <c r="J112" s="201">
        <v>8191</v>
      </c>
      <c r="K112" s="201">
        <v>8868</v>
      </c>
      <c r="L112" s="225"/>
      <c r="M112" s="225"/>
      <c r="N112" s="225"/>
      <c r="O112" s="260">
        <v>10833</v>
      </c>
      <c r="P112" s="225"/>
      <c r="Q112" s="225"/>
      <c r="R112" s="225"/>
      <c r="S112" s="260">
        <v>11078</v>
      </c>
      <c r="T112" s="225"/>
      <c r="U112" s="225"/>
      <c r="V112" s="225"/>
      <c r="W112" s="260">
        <f>W113*W126</f>
        <v>11227.033315</v>
      </c>
      <c r="X112" s="225"/>
      <c r="Y112" s="225"/>
      <c r="Z112" s="275"/>
      <c r="AA112" s="269">
        <f>AA113*AA126</f>
        <v>12237.46631335</v>
      </c>
      <c r="AB112" s="269">
        <f t="shared" ref="AB112:AF112" si="183">AB113*AB126</f>
        <v>12928.16993349</v>
      </c>
      <c r="AC112" s="269">
        <f t="shared" si="183"/>
        <v>13445.2967308296</v>
      </c>
      <c r="AD112" s="269">
        <f t="shared" si="183"/>
        <v>13848.6556327545</v>
      </c>
      <c r="AE112" s="269">
        <f t="shared" si="183"/>
        <v>14125.6287454096</v>
      </c>
      <c r="AF112" s="269">
        <f t="shared" si="183"/>
        <v>14266.8850328637</v>
      </c>
    </row>
    <row r="113" s="2" customFormat="1" ht="18.5" spans="3:32">
      <c r="C113" s="205" t="s">
        <v>155</v>
      </c>
      <c r="E113" s="204"/>
      <c r="F113" s="202">
        <f>F112/F126</f>
        <v>0.809631728045326</v>
      </c>
      <c r="G113" s="202">
        <f t="shared" ref="G113:K113" si="184">G112/G126</f>
        <v>0.643709409454765</v>
      </c>
      <c r="H113" s="202">
        <f t="shared" si="184"/>
        <v>0.694627124953468</v>
      </c>
      <c r="I113" s="202">
        <f t="shared" si="184"/>
        <v>0.750308319893748</v>
      </c>
      <c r="J113" s="202">
        <f t="shared" si="184"/>
        <v>0.758145131432803</v>
      </c>
      <c r="K113" s="202">
        <f t="shared" si="184"/>
        <v>0.778372684982007</v>
      </c>
      <c r="L113" s="73"/>
      <c r="M113" s="73"/>
      <c r="N113" s="73"/>
      <c r="O113" s="202">
        <f t="shared" ref="O113" si="185">O112/O126</f>
        <v>0.815860822413014</v>
      </c>
      <c r="P113" s="73"/>
      <c r="Q113" s="64"/>
      <c r="R113" s="64"/>
      <c r="S113" s="202">
        <f t="shared" ref="S113" si="186">S112/S126</f>
        <v>0.814858403824936</v>
      </c>
      <c r="T113" s="73"/>
      <c r="U113" s="73"/>
      <c r="V113" s="73"/>
      <c r="W113" s="202">
        <v>0.815</v>
      </c>
      <c r="X113" s="73"/>
      <c r="Y113" s="73"/>
      <c r="Z113" s="257"/>
      <c r="AA113" s="270">
        <v>0.815</v>
      </c>
      <c r="AB113" s="270">
        <v>0.82</v>
      </c>
      <c r="AC113" s="270">
        <v>0.82</v>
      </c>
      <c r="AD113" s="270">
        <v>0.82</v>
      </c>
      <c r="AE113" s="270">
        <v>0.82</v>
      </c>
      <c r="AF113" s="270">
        <v>0.82</v>
      </c>
    </row>
    <row r="114" s="2" customFormat="1" ht="18.5" spans="3:32">
      <c r="C114" s="205"/>
      <c r="E114" s="204"/>
      <c r="F114" s="204"/>
      <c r="G114" s="204"/>
      <c r="H114" s="204"/>
      <c r="I114" s="204"/>
      <c r="J114" s="204"/>
      <c r="K114" s="204"/>
      <c r="L114" s="73"/>
      <c r="M114" s="73"/>
      <c r="N114" s="73"/>
      <c r="O114" s="223"/>
      <c r="P114" s="73"/>
      <c r="Q114" s="73"/>
      <c r="R114" s="73"/>
      <c r="S114" s="223"/>
      <c r="T114" s="73"/>
      <c r="U114" s="73"/>
      <c r="V114" s="73"/>
      <c r="W114" s="223"/>
      <c r="X114" s="73"/>
      <c r="Y114" s="73"/>
      <c r="Z114" s="257"/>
      <c r="AA114" s="272"/>
      <c r="AB114" s="258"/>
      <c r="AC114" s="193"/>
      <c r="AD114" s="193"/>
      <c r="AE114" s="193"/>
      <c r="AF114" s="193"/>
    </row>
    <row r="115" s="8" customFormat="1" ht="18.5" spans="3:32">
      <c r="C115" s="8" t="s">
        <v>156</v>
      </c>
      <c r="E115" s="201"/>
      <c r="F115" s="201"/>
      <c r="G115" s="201"/>
      <c r="H115" s="201"/>
      <c r="I115" s="201"/>
      <c r="J115" s="201"/>
      <c r="K115" s="201"/>
      <c r="L115" s="225"/>
      <c r="M115" s="225"/>
      <c r="N115" s="225"/>
      <c r="O115" s="260"/>
      <c r="P115" s="225"/>
      <c r="Q115" s="225"/>
      <c r="R115" s="225"/>
      <c r="S115" s="260"/>
      <c r="T115" s="225"/>
      <c r="U115" s="225"/>
      <c r="V115" s="225"/>
      <c r="W115" s="260"/>
      <c r="X115" s="225"/>
      <c r="Y115" s="225"/>
      <c r="Z115" s="275"/>
      <c r="AA115" s="273"/>
      <c r="AB115" s="266"/>
      <c r="AC115" s="206"/>
      <c r="AD115" s="206"/>
      <c r="AE115" s="206"/>
      <c r="AF115" s="206"/>
    </row>
    <row r="116" s="2" customFormat="1" ht="18.5" spans="3:32">
      <c r="C116" s="2" t="s">
        <v>142</v>
      </c>
      <c r="E116" s="204"/>
      <c r="F116" s="204">
        <v>608</v>
      </c>
      <c r="G116" s="204">
        <f>F123</f>
        <v>672</v>
      </c>
      <c r="H116" s="204">
        <f t="shared" ref="H116:I116" si="187">G123</f>
        <v>2359</v>
      </c>
      <c r="I116" s="204">
        <f t="shared" si="187"/>
        <v>2461</v>
      </c>
      <c r="J116" s="204"/>
      <c r="K116" s="204"/>
      <c r="L116" s="73"/>
      <c r="M116" s="73"/>
      <c r="N116" s="73"/>
      <c r="O116" s="223"/>
      <c r="P116" s="73"/>
      <c r="Q116" s="73"/>
      <c r="R116" s="73"/>
      <c r="S116" s="223"/>
      <c r="T116" s="73"/>
      <c r="U116" s="73"/>
      <c r="V116" s="73"/>
      <c r="W116" s="223"/>
      <c r="X116" s="73"/>
      <c r="Y116" s="73"/>
      <c r="Z116" s="257"/>
      <c r="AA116" s="272"/>
      <c r="AB116" s="258"/>
      <c r="AC116" s="193"/>
      <c r="AD116" s="193"/>
      <c r="AE116" s="193"/>
      <c r="AF116" s="193"/>
    </row>
    <row r="117" s="2" customFormat="1" ht="18.5" spans="3:32">
      <c r="C117" s="88" t="s">
        <v>143</v>
      </c>
      <c r="E117" s="204"/>
      <c r="F117" s="204">
        <v>106</v>
      </c>
      <c r="G117" s="204">
        <v>23</v>
      </c>
      <c r="H117" s="204">
        <v>82</v>
      </c>
      <c r="I117" s="204">
        <v>114</v>
      </c>
      <c r="J117" s="204"/>
      <c r="K117" s="204"/>
      <c r="L117" s="73"/>
      <c r="M117" s="73"/>
      <c r="N117" s="73"/>
      <c r="O117" s="204"/>
      <c r="P117" s="73"/>
      <c r="Q117" s="73"/>
      <c r="R117" s="73"/>
      <c r="S117" s="204"/>
      <c r="T117" s="73"/>
      <c r="U117" s="73"/>
      <c r="V117" s="73"/>
      <c r="W117" s="204"/>
      <c r="X117" s="73"/>
      <c r="Y117" s="73"/>
      <c r="Z117" s="257"/>
      <c r="AA117" s="272"/>
      <c r="AB117" s="258"/>
      <c r="AC117" s="193"/>
      <c r="AD117" s="193"/>
      <c r="AE117" s="193"/>
      <c r="AF117" s="193"/>
    </row>
    <row r="118" s="2" customFormat="1" ht="18.5" spans="3:32">
      <c r="C118" s="88" t="s">
        <v>153</v>
      </c>
      <c r="E118" s="204"/>
      <c r="F118" s="204">
        <v>0</v>
      </c>
      <c r="G118" s="204">
        <v>0</v>
      </c>
      <c r="H118" s="204">
        <v>5</v>
      </c>
      <c r="I118" s="204">
        <v>0</v>
      </c>
      <c r="J118" s="204"/>
      <c r="K118" s="204"/>
      <c r="L118" s="73"/>
      <c r="M118" s="73"/>
      <c r="N118" s="73"/>
      <c r="O118" s="204"/>
      <c r="P118" s="73"/>
      <c r="Q118" s="73"/>
      <c r="R118" s="73"/>
      <c r="S118" s="204"/>
      <c r="T118" s="73"/>
      <c r="U118" s="73"/>
      <c r="V118" s="73"/>
      <c r="W118" s="204"/>
      <c r="X118" s="73"/>
      <c r="Y118" s="73"/>
      <c r="Z118" s="257"/>
      <c r="AA118" s="272"/>
      <c r="AB118" s="258"/>
      <c r="AC118" s="193"/>
      <c r="AD118" s="193"/>
      <c r="AE118" s="193"/>
      <c r="AF118" s="193"/>
    </row>
    <row r="119" s="2" customFormat="1" ht="18.5" spans="3:32">
      <c r="C119" s="203" t="s">
        <v>144</v>
      </c>
      <c r="D119" s="8"/>
      <c r="E119" s="201"/>
      <c r="F119" s="204">
        <v>5</v>
      </c>
      <c r="G119" s="204">
        <v>0</v>
      </c>
      <c r="H119" s="204">
        <v>1</v>
      </c>
      <c r="I119" s="204">
        <v>0</v>
      </c>
      <c r="J119" s="204"/>
      <c r="K119" s="204"/>
      <c r="L119" s="73"/>
      <c r="M119" s="73"/>
      <c r="N119" s="73"/>
      <c r="O119" s="204"/>
      <c r="P119" s="73"/>
      <c r="Q119" s="73"/>
      <c r="R119" s="73"/>
      <c r="S119" s="204"/>
      <c r="T119" s="73"/>
      <c r="U119" s="73"/>
      <c r="V119" s="73"/>
      <c r="W119" s="204"/>
      <c r="X119" s="73"/>
      <c r="Y119" s="73"/>
      <c r="Z119" s="257"/>
      <c r="AA119" s="272"/>
      <c r="AB119" s="258"/>
      <c r="AC119" s="193"/>
      <c r="AD119" s="193"/>
      <c r="AE119" s="193"/>
      <c r="AF119" s="193"/>
    </row>
    <row r="120" s="2" customFormat="1" ht="18.5" spans="3:32">
      <c r="C120" s="203" t="s">
        <v>145</v>
      </c>
      <c r="D120" s="8"/>
      <c r="E120" s="201"/>
      <c r="F120" s="204">
        <v>0</v>
      </c>
      <c r="G120" s="204">
        <v>1699</v>
      </c>
      <c r="H120" s="204">
        <v>0</v>
      </c>
      <c r="I120" s="204">
        <v>79</v>
      </c>
      <c r="J120" s="204"/>
      <c r="K120" s="204"/>
      <c r="L120" s="73"/>
      <c r="M120" s="73"/>
      <c r="N120" s="73"/>
      <c r="O120" s="204"/>
      <c r="P120" s="73"/>
      <c r="Q120" s="73"/>
      <c r="R120" s="73"/>
      <c r="S120" s="204"/>
      <c r="T120" s="73"/>
      <c r="U120" s="73"/>
      <c r="V120" s="73"/>
      <c r="W120" s="204"/>
      <c r="X120" s="73"/>
      <c r="Y120" s="73"/>
      <c r="Z120" s="257"/>
      <c r="AA120" s="272"/>
      <c r="AB120" s="258"/>
      <c r="AC120" s="193"/>
      <c r="AD120" s="193"/>
      <c r="AE120" s="193"/>
      <c r="AF120" s="193"/>
    </row>
    <row r="121" s="2" customFormat="1" ht="18.5" spans="3:32">
      <c r="C121" s="88" t="s">
        <v>146</v>
      </c>
      <c r="D121" s="8"/>
      <c r="E121" s="201"/>
      <c r="F121" s="204">
        <v>-47</v>
      </c>
      <c r="G121" s="204">
        <v>-35</v>
      </c>
      <c r="H121" s="204">
        <v>-24</v>
      </c>
      <c r="I121" s="204">
        <v>-22</v>
      </c>
      <c r="J121" s="204"/>
      <c r="K121" s="204"/>
      <c r="L121" s="73"/>
      <c r="M121" s="73"/>
      <c r="N121" s="73"/>
      <c r="O121" s="204"/>
      <c r="P121" s="73"/>
      <c r="Q121" s="73"/>
      <c r="R121" s="73"/>
      <c r="S121" s="204"/>
      <c r="T121" s="73"/>
      <c r="U121" s="73"/>
      <c r="V121" s="73"/>
      <c r="W121" s="204"/>
      <c r="X121" s="73"/>
      <c r="Y121" s="73"/>
      <c r="Z121" s="257">
        <v>8.57</v>
      </c>
      <c r="AA121" s="272"/>
      <c r="AB121" s="258"/>
      <c r="AC121" s="193"/>
      <c r="AD121" s="193"/>
      <c r="AE121" s="193"/>
      <c r="AF121" s="193"/>
    </row>
    <row r="122" s="2" customFormat="1" ht="18.5" spans="3:32">
      <c r="C122" s="88" t="s">
        <v>154</v>
      </c>
      <c r="D122" s="8"/>
      <c r="E122" s="201"/>
      <c r="F122" s="204">
        <v>0</v>
      </c>
      <c r="G122" s="204">
        <v>0</v>
      </c>
      <c r="H122" s="204">
        <v>38</v>
      </c>
      <c r="I122" s="204">
        <v>0</v>
      </c>
      <c r="J122" s="204"/>
      <c r="K122" s="204"/>
      <c r="L122" s="73"/>
      <c r="M122" s="73"/>
      <c r="N122" s="73"/>
      <c r="O122" s="204"/>
      <c r="P122" s="73"/>
      <c r="Q122" s="73"/>
      <c r="R122" s="73"/>
      <c r="S122" s="204"/>
      <c r="T122" s="73"/>
      <c r="U122" s="73"/>
      <c r="V122" s="73"/>
      <c r="W122" s="204"/>
      <c r="X122" s="73"/>
      <c r="Y122" s="73"/>
      <c r="Z122" s="257"/>
      <c r="AA122" s="272"/>
      <c r="AB122" s="258"/>
      <c r="AC122" s="193"/>
      <c r="AD122" s="193"/>
      <c r="AE122" s="193"/>
      <c r="AF122" s="193"/>
    </row>
    <row r="123" s="8" customFormat="1" ht="18.5" spans="3:32">
      <c r="C123" s="255" t="s">
        <v>147</v>
      </c>
      <c r="E123" s="201"/>
      <c r="F123" s="201">
        <f>F116+F117+F119+F121+F120+F118+F122</f>
        <v>672</v>
      </c>
      <c r="G123" s="201">
        <f t="shared" ref="G123:I123" si="188">G116+G117+G119+G121+G120+G118+G122</f>
        <v>2359</v>
      </c>
      <c r="H123" s="201">
        <f t="shared" si="188"/>
        <v>2461</v>
      </c>
      <c r="I123" s="201">
        <f t="shared" si="188"/>
        <v>2632</v>
      </c>
      <c r="J123" s="201">
        <v>2613</v>
      </c>
      <c r="K123" s="201">
        <v>2525</v>
      </c>
      <c r="L123" s="225"/>
      <c r="M123" s="225"/>
      <c r="N123" s="225"/>
      <c r="O123" s="260">
        <v>2445</v>
      </c>
      <c r="P123" s="225"/>
      <c r="Q123" s="225"/>
      <c r="R123" s="225"/>
      <c r="S123" s="260">
        <v>2517</v>
      </c>
      <c r="T123" s="225"/>
      <c r="U123" s="225"/>
      <c r="V123" s="225"/>
      <c r="W123" s="260">
        <f>W124*W126</f>
        <v>2548.467685</v>
      </c>
      <c r="X123" s="225"/>
      <c r="Y123" s="225"/>
      <c r="Z123" s="275"/>
      <c r="AA123" s="269">
        <f>AA124*AA126</f>
        <v>2777.82977665</v>
      </c>
      <c r="AB123" s="269">
        <f t="shared" ref="AB123:AF123" si="189">AB124*AB126</f>
        <v>2837.89096101</v>
      </c>
      <c r="AC123" s="269">
        <f t="shared" si="189"/>
        <v>2951.4065994504</v>
      </c>
      <c r="AD123" s="269">
        <f t="shared" si="189"/>
        <v>3039.94879743391</v>
      </c>
      <c r="AE123" s="269">
        <f t="shared" si="189"/>
        <v>3100.74777338259</v>
      </c>
      <c r="AF123" s="269">
        <f t="shared" si="189"/>
        <v>3131.75525111642</v>
      </c>
    </row>
    <row r="124" s="2" customFormat="1" ht="18.5" spans="3:32">
      <c r="C124" s="205" t="s">
        <v>155</v>
      </c>
      <c r="D124" s="8"/>
      <c r="E124" s="201"/>
      <c r="F124" s="202">
        <f>F123/F126</f>
        <v>0.190368271954674</v>
      </c>
      <c r="G124" s="202">
        <f t="shared" ref="G124:K124" si="190">G123/G126</f>
        <v>0.356290590545235</v>
      </c>
      <c r="H124" s="202">
        <f t="shared" si="190"/>
        <v>0.305372875046532</v>
      </c>
      <c r="I124" s="202">
        <f t="shared" si="190"/>
        <v>0.249691680106252</v>
      </c>
      <c r="J124" s="202">
        <f t="shared" si="190"/>
        <v>0.241854868567197</v>
      </c>
      <c r="K124" s="202">
        <f t="shared" si="190"/>
        <v>0.221627315017994</v>
      </c>
      <c r="L124" s="73"/>
      <c r="M124" s="73"/>
      <c r="N124" s="73"/>
      <c r="O124" s="202">
        <f t="shared" ref="O124" si="191">O123/O126</f>
        <v>0.184139177586986</v>
      </c>
      <c r="P124" s="73"/>
      <c r="Q124" s="64"/>
      <c r="R124" s="64"/>
      <c r="S124" s="202">
        <f t="shared" ref="S124" si="192">S123/S126</f>
        <v>0.185141596175064</v>
      </c>
      <c r="T124" s="73"/>
      <c r="U124" s="73"/>
      <c r="V124" s="73"/>
      <c r="W124" s="202">
        <v>0.185</v>
      </c>
      <c r="X124" s="73"/>
      <c r="Y124" s="73"/>
      <c r="Z124" s="257"/>
      <c r="AA124" s="270">
        <v>0.185</v>
      </c>
      <c r="AB124" s="271">
        <f>1-AB113</f>
        <v>0.18</v>
      </c>
      <c r="AC124" s="271">
        <f t="shared" ref="AC124:AF124" si="193">1-AC113</f>
        <v>0.18</v>
      </c>
      <c r="AD124" s="271">
        <f t="shared" si="193"/>
        <v>0.18</v>
      </c>
      <c r="AE124" s="271">
        <f t="shared" si="193"/>
        <v>0.18</v>
      </c>
      <c r="AF124" s="271">
        <f t="shared" si="193"/>
        <v>0.18</v>
      </c>
    </row>
    <row r="125" s="2" customFormat="1" ht="18.5" spans="3:32">
      <c r="C125" s="205"/>
      <c r="D125" s="8"/>
      <c r="E125" s="201"/>
      <c r="F125" s="204"/>
      <c r="G125" s="204"/>
      <c r="H125" s="204"/>
      <c r="I125" s="204"/>
      <c r="J125" s="204"/>
      <c r="K125" s="204"/>
      <c r="L125" s="73"/>
      <c r="M125" s="73"/>
      <c r="N125" s="73"/>
      <c r="O125" s="223"/>
      <c r="P125" s="73"/>
      <c r="Q125" s="73"/>
      <c r="R125" s="73"/>
      <c r="S125" s="223"/>
      <c r="T125" s="73"/>
      <c r="U125" s="73"/>
      <c r="V125" s="73"/>
      <c r="W125" s="223"/>
      <c r="X125" s="73"/>
      <c r="Y125" s="73"/>
      <c r="Z125" s="257"/>
      <c r="AA125" s="272"/>
      <c r="AB125" s="258"/>
      <c r="AC125" s="193"/>
      <c r="AD125" s="193"/>
      <c r="AE125" s="193"/>
      <c r="AF125" s="193"/>
    </row>
    <row r="126" s="8" customFormat="1" ht="18.5" spans="3:32">
      <c r="C126" s="256" t="s">
        <v>157</v>
      </c>
      <c r="D126" s="208"/>
      <c r="E126" s="209"/>
      <c r="F126" s="209">
        <f>F112+F123</f>
        <v>3530</v>
      </c>
      <c r="G126" s="209">
        <f t="shared" ref="G126:K126" si="194">G112+G123</f>
        <v>6621</v>
      </c>
      <c r="H126" s="209">
        <f t="shared" si="194"/>
        <v>8059</v>
      </c>
      <c r="I126" s="209">
        <f t="shared" si="194"/>
        <v>10541</v>
      </c>
      <c r="J126" s="262">
        <f t="shared" si="194"/>
        <v>10804</v>
      </c>
      <c r="K126" s="262">
        <f t="shared" si="194"/>
        <v>11393</v>
      </c>
      <c r="L126" s="261"/>
      <c r="M126" s="261"/>
      <c r="N126" s="261"/>
      <c r="O126" s="262">
        <f>O112+O123</f>
        <v>13278</v>
      </c>
      <c r="P126" s="261"/>
      <c r="Q126" s="261"/>
      <c r="R126" s="261"/>
      <c r="S126" s="262">
        <f>S112+S123</f>
        <v>13595</v>
      </c>
      <c r="T126" s="261"/>
      <c r="U126" s="261"/>
      <c r="V126" s="261"/>
      <c r="W126" s="262">
        <f>W129*W100/1000</f>
        <v>13775.501</v>
      </c>
      <c r="X126" s="261"/>
      <c r="Y126" s="261"/>
      <c r="Z126" s="277"/>
      <c r="AA126" s="274">
        <f>W126*(1+AA127)</f>
        <v>15015.29609</v>
      </c>
      <c r="AB126" s="274">
        <f>AA126*(1+AB127)</f>
        <v>15766.0608945</v>
      </c>
      <c r="AC126" s="274">
        <f t="shared" ref="AC126:AF126" si="195">AB126*(1+AC127)</f>
        <v>16396.70333028</v>
      </c>
      <c r="AD126" s="274">
        <f t="shared" si="195"/>
        <v>16888.6044301884</v>
      </c>
      <c r="AE126" s="274">
        <f t="shared" si="195"/>
        <v>17226.3765187922</v>
      </c>
      <c r="AF126" s="274">
        <f t="shared" si="195"/>
        <v>17398.6402839801</v>
      </c>
    </row>
    <row r="127" s="8" customFormat="1" ht="18.5" spans="3:32">
      <c r="C127" s="205" t="s">
        <v>18</v>
      </c>
      <c r="E127" s="201"/>
      <c r="F127" s="201"/>
      <c r="G127" s="202">
        <f>G126/F126-1</f>
        <v>0.875637393767705</v>
      </c>
      <c r="H127" s="202">
        <f t="shared" ref="H127:K127" si="196">H126/G126-1</f>
        <v>0.217187735991542</v>
      </c>
      <c r="I127" s="202">
        <f t="shared" si="196"/>
        <v>0.307978657401663</v>
      </c>
      <c r="J127" s="202">
        <f t="shared" si="196"/>
        <v>0.0249501944787023</v>
      </c>
      <c r="K127" s="202">
        <f t="shared" si="196"/>
        <v>0.0545168456127361</v>
      </c>
      <c r="L127" s="225"/>
      <c r="M127" s="225"/>
      <c r="N127" s="225"/>
      <c r="O127" s="202">
        <f>O126/K126-1</f>
        <v>0.165452470815413</v>
      </c>
      <c r="P127" s="225"/>
      <c r="Q127" s="225"/>
      <c r="R127" s="225"/>
      <c r="S127" s="202">
        <f>S126/O126-1</f>
        <v>0.0238740774212984</v>
      </c>
      <c r="T127" s="225"/>
      <c r="U127" s="225"/>
      <c r="V127" s="225"/>
      <c r="W127" s="202">
        <f>W126/S126-1</f>
        <v>0.0132770136079441</v>
      </c>
      <c r="X127" s="225"/>
      <c r="Y127" s="225"/>
      <c r="Z127" s="275"/>
      <c r="AA127" s="270">
        <v>0.09</v>
      </c>
      <c r="AB127" s="271">
        <v>0.05</v>
      </c>
      <c r="AC127" s="271">
        <v>0.04</v>
      </c>
      <c r="AD127" s="271">
        <v>0.03</v>
      </c>
      <c r="AE127" s="271">
        <v>0.02</v>
      </c>
      <c r="AF127" s="271">
        <v>0.01</v>
      </c>
    </row>
    <row r="128" s="2" customFormat="1" ht="18.5" spans="3:32">
      <c r="C128" s="255"/>
      <c r="D128" s="8"/>
      <c r="E128" s="201"/>
      <c r="F128" s="204"/>
      <c r="G128" s="204"/>
      <c r="H128" s="204"/>
      <c r="I128" s="204"/>
      <c r="J128" s="204"/>
      <c r="K128" s="204"/>
      <c r="L128" s="73"/>
      <c r="M128" s="73"/>
      <c r="N128" s="73"/>
      <c r="O128" s="223"/>
      <c r="P128" s="73"/>
      <c r="Q128" s="73"/>
      <c r="R128" s="73"/>
      <c r="S128" s="223"/>
      <c r="T128" s="73"/>
      <c r="U128" s="73"/>
      <c r="V128" s="73"/>
      <c r="W128" s="223"/>
      <c r="X128" s="73"/>
      <c r="Y128" s="73"/>
      <c r="Z128" s="257"/>
      <c r="AA128" s="272"/>
      <c r="AB128" s="258"/>
      <c r="AC128" s="193"/>
      <c r="AD128" s="193"/>
      <c r="AE128" s="193"/>
      <c r="AF128" s="193"/>
    </row>
    <row r="129" s="8" customFormat="1" ht="18.5" spans="3:32">
      <c r="C129" s="256" t="s">
        <v>158</v>
      </c>
      <c r="D129" s="208"/>
      <c r="E129" s="209"/>
      <c r="F129" s="209">
        <f>F126*1000/F100</f>
        <v>3845.31590413943</v>
      </c>
      <c r="G129" s="209">
        <f t="shared" ref="G129:J129" si="197">G126*1000/G100</f>
        <v>5140.52795031056</v>
      </c>
      <c r="H129" s="209">
        <f t="shared" si="197"/>
        <v>5467.4355495251</v>
      </c>
      <c r="I129" s="209">
        <f t="shared" si="197"/>
        <v>4355.78512396694</v>
      </c>
      <c r="J129" s="209">
        <f t="shared" si="197"/>
        <v>4413.39869281046</v>
      </c>
      <c r="K129" s="209">
        <f t="shared" ref="K129" si="198">K126*1000/K100</f>
        <v>4322.07890743551</v>
      </c>
      <c r="L129" s="261"/>
      <c r="M129" s="261"/>
      <c r="N129" s="261"/>
      <c r="O129" s="209">
        <f t="shared" ref="O129" si="199">O126*1000/O100</f>
        <v>3902.99823633157</v>
      </c>
      <c r="P129" s="261"/>
      <c r="Q129" s="261"/>
      <c r="R129" s="261"/>
      <c r="S129" s="209">
        <f t="shared" ref="S129" si="200">S126*1000/S100</f>
        <v>4010.32448377581</v>
      </c>
      <c r="T129" s="261"/>
      <c r="U129" s="261"/>
      <c r="V129" s="261"/>
      <c r="W129" s="262">
        <v>4153</v>
      </c>
      <c r="X129" s="261"/>
      <c r="Y129" s="261"/>
      <c r="Z129" s="277"/>
      <c r="AA129" s="274">
        <f>AA126*1000/AA100</f>
        <v>4345.26851851852</v>
      </c>
      <c r="AB129" s="274">
        <f t="shared" ref="AB129:AF129" si="201">AB126*1000/AB100</f>
        <v>4469.41904761905</v>
      </c>
      <c r="AC129" s="274">
        <f t="shared" si="201"/>
        <v>4556.20388349515</v>
      </c>
      <c r="AD129" s="274">
        <f t="shared" si="201"/>
        <v>4644.67386181544</v>
      </c>
      <c r="AE129" s="274">
        <f t="shared" si="201"/>
        <v>4734.86170379244</v>
      </c>
      <c r="AF129" s="274">
        <f t="shared" si="201"/>
        <v>4826.800766002</v>
      </c>
    </row>
    <row r="130" s="8" customFormat="1" ht="18.5" spans="3:32">
      <c r="C130" s="205" t="s">
        <v>18</v>
      </c>
      <c r="E130" s="201"/>
      <c r="F130" s="201"/>
      <c r="G130" s="202">
        <f>G129/F129-1</f>
        <v>0.336828515123256</v>
      </c>
      <c r="H130" s="202">
        <f t="shared" ref="H130:K130" si="202">H129/G129-1</f>
        <v>0.0635941682205605</v>
      </c>
      <c r="I130" s="202">
        <f t="shared" si="202"/>
        <v>-0.203322090491714</v>
      </c>
      <c r="J130" s="202">
        <f t="shared" si="202"/>
        <v>0.0132269079405472</v>
      </c>
      <c r="K130" s="202">
        <f t="shared" si="202"/>
        <v>-0.0206914878376413</v>
      </c>
      <c r="L130" s="225"/>
      <c r="M130" s="225"/>
      <c r="N130" s="225"/>
      <c r="O130" s="202">
        <f>O129/K129-1</f>
        <v>-0.0969627533599562</v>
      </c>
      <c r="P130" s="225"/>
      <c r="Q130" s="225"/>
      <c r="R130" s="225"/>
      <c r="S130" s="202">
        <f>S129/O129-1</f>
        <v>0.0274984104387188</v>
      </c>
      <c r="T130" s="225"/>
      <c r="U130" s="225"/>
      <c r="V130" s="225"/>
      <c r="W130" s="202">
        <f>W129/S129-1</f>
        <v>0.0355770503861714</v>
      </c>
      <c r="X130" s="225"/>
      <c r="Y130" s="225"/>
      <c r="Z130" s="275"/>
      <c r="AA130" s="270">
        <f>AA129/W129-1</f>
        <v>0.0462962962962961</v>
      </c>
      <c r="AB130" s="271">
        <f>AB129/AA129-1</f>
        <v>0.0285714285714287</v>
      </c>
      <c r="AC130" s="271">
        <f t="shared" ref="AC130:AF130" si="203">AC129/AB129-1</f>
        <v>0.0194174757281553</v>
      </c>
      <c r="AD130" s="271">
        <f t="shared" si="203"/>
        <v>0.0194174757281553</v>
      </c>
      <c r="AE130" s="271">
        <f t="shared" si="203"/>
        <v>0.0194174757281551</v>
      </c>
      <c r="AF130" s="271">
        <f t="shared" si="203"/>
        <v>0.0194174757281556</v>
      </c>
    </row>
    <row r="131" s="2" customFormat="1" ht="18.5" spans="3:32">
      <c r="C131" s="205"/>
      <c r="D131" s="8"/>
      <c r="E131" s="201"/>
      <c r="F131" s="201"/>
      <c r="G131" s="201"/>
      <c r="H131" s="201"/>
      <c r="I131" s="223"/>
      <c r="J131" s="223"/>
      <c r="K131" s="223"/>
      <c r="L131" s="73"/>
      <c r="M131" s="73"/>
      <c r="N131" s="73"/>
      <c r="O131" s="223"/>
      <c r="P131" s="73"/>
      <c r="Q131" s="73"/>
      <c r="R131" s="73"/>
      <c r="S131" s="223"/>
      <c r="T131" s="73"/>
      <c r="U131" s="73"/>
      <c r="V131" s="73"/>
      <c r="W131" s="223"/>
      <c r="X131" s="73"/>
      <c r="Y131" s="73"/>
      <c r="Z131" s="257"/>
      <c r="AA131" s="263"/>
      <c r="AB131" s="258"/>
      <c r="AC131" s="193"/>
      <c r="AD131" s="193"/>
      <c r="AE131" s="193"/>
      <c r="AF131" s="193"/>
    </row>
    <row r="132" s="2" customFormat="1" ht="26" spans="3:32">
      <c r="C132" s="278" t="s">
        <v>159</v>
      </c>
      <c r="D132" s="107"/>
      <c r="E132" s="107"/>
      <c r="F132" s="107"/>
      <c r="G132" s="107"/>
      <c r="H132" s="107"/>
      <c r="I132" s="304"/>
      <c r="J132" s="304"/>
      <c r="K132" s="304"/>
      <c r="L132" s="304"/>
      <c r="M132" s="304"/>
      <c r="N132" s="304"/>
      <c r="O132" s="304"/>
      <c r="P132" s="304"/>
      <c r="Q132" s="304"/>
      <c r="R132" s="304"/>
      <c r="S132" s="304"/>
      <c r="T132" s="304"/>
      <c r="U132" s="304"/>
      <c r="V132" s="304"/>
      <c r="W132" s="304"/>
      <c r="X132" s="304"/>
      <c r="Y132" s="304"/>
      <c r="Z132" s="304"/>
      <c r="AA132" s="304"/>
      <c r="AB132" s="259"/>
      <c r="AC132" s="140"/>
      <c r="AD132" s="140"/>
      <c r="AE132" s="140"/>
      <c r="AF132" s="140"/>
    </row>
    <row r="133" s="2" customFormat="1" ht="18.5" spans="3:32">
      <c r="C133" s="205" t="s">
        <v>159</v>
      </c>
      <c r="D133" s="8"/>
      <c r="E133" s="279">
        <f t="shared" ref="E133:K133" si="204">E254</f>
        <v>225.02</v>
      </c>
      <c r="F133" s="279">
        <f t="shared" si="204"/>
        <v>238.324</v>
      </c>
      <c r="G133" s="279">
        <f t="shared" si="204"/>
        <v>348</v>
      </c>
      <c r="H133" s="279">
        <f t="shared" si="204"/>
        <v>478</v>
      </c>
      <c r="I133" s="279">
        <f t="shared" si="204"/>
        <v>763.8</v>
      </c>
      <c r="J133" s="279">
        <f t="shared" si="204"/>
        <v>811.8</v>
      </c>
      <c r="K133" s="279">
        <f t="shared" si="204"/>
        <v>813.7</v>
      </c>
      <c r="L133" s="257"/>
      <c r="M133" s="39">
        <f>M254</f>
        <v>996.7</v>
      </c>
      <c r="N133" s="39"/>
      <c r="O133" s="279">
        <f>O254</f>
        <v>989.4</v>
      </c>
      <c r="P133" s="257"/>
      <c r="Q133" s="39">
        <f>Q254</f>
        <v>1428.5</v>
      </c>
      <c r="R133" s="39"/>
      <c r="S133" s="279">
        <f>S254</f>
        <v>1466.4</v>
      </c>
      <c r="T133" s="257"/>
      <c r="U133" s="39">
        <f>U254</f>
        <v>1625.1</v>
      </c>
      <c r="V133" s="39"/>
      <c r="W133" s="279">
        <f>W254</f>
        <v>1592.7</v>
      </c>
      <c r="X133" s="257"/>
      <c r="Y133" s="39">
        <f>Y254</f>
        <v>2014</v>
      </c>
      <c r="Z133" s="73"/>
      <c r="AA133" s="263"/>
      <c r="AB133" s="258"/>
      <c r="AC133" s="193"/>
      <c r="AD133" s="193"/>
      <c r="AE133" s="193"/>
      <c r="AF133" s="193"/>
    </row>
    <row r="134" s="2" customFormat="1" ht="18.5" spans="3:32">
      <c r="C134" s="205" t="s">
        <v>18</v>
      </c>
      <c r="D134" s="8"/>
      <c r="E134" s="206"/>
      <c r="F134" s="202">
        <f>F133/E133-1</f>
        <v>0.059123633454804</v>
      </c>
      <c r="G134" s="202">
        <f t="shared" ref="G134:K134" si="205">G133/F133-1</f>
        <v>0.460197042681392</v>
      </c>
      <c r="H134" s="202">
        <f t="shared" si="205"/>
        <v>0.373563218390805</v>
      </c>
      <c r="I134" s="202">
        <f t="shared" si="205"/>
        <v>0.597907949790795</v>
      </c>
      <c r="J134" s="202">
        <f t="shared" si="205"/>
        <v>0.0628436763550668</v>
      </c>
      <c r="K134" s="202">
        <f t="shared" si="205"/>
        <v>0.00234047795023407</v>
      </c>
      <c r="L134" s="257"/>
      <c r="M134" s="257"/>
      <c r="N134" s="257"/>
      <c r="O134" s="271">
        <f>O133/K133-1</f>
        <v>0.215927245913727</v>
      </c>
      <c r="P134" s="257"/>
      <c r="Q134" s="64">
        <f>Q133/M133-1</f>
        <v>0.433229657870974</v>
      </c>
      <c r="R134" s="64"/>
      <c r="S134" s="271">
        <f>S133/O133-1</f>
        <v>0.482110369921164</v>
      </c>
      <c r="T134" s="257"/>
      <c r="U134" s="64">
        <f>U133/Q133-1</f>
        <v>0.137626881344067</v>
      </c>
      <c r="V134" s="64"/>
      <c r="W134" s="271">
        <f>W133/S133-1</f>
        <v>0.0861292962356792</v>
      </c>
      <c r="X134" s="257"/>
      <c r="Y134" s="64">
        <f>Y133/U133-1</f>
        <v>0.239308350255369</v>
      </c>
      <c r="Z134" s="64"/>
      <c r="AA134" s="263"/>
      <c r="AB134" s="258"/>
      <c r="AC134" s="193"/>
      <c r="AD134" s="193"/>
      <c r="AE134" s="193"/>
      <c r="AF134" s="193"/>
    </row>
    <row r="135" s="2" customFormat="1" ht="18.5" spans="3:32">
      <c r="C135" s="205"/>
      <c r="D135" s="8"/>
      <c r="E135" s="206"/>
      <c r="F135" s="279"/>
      <c r="G135" s="279"/>
      <c r="H135" s="279"/>
      <c r="I135" s="279"/>
      <c r="J135" s="279"/>
      <c r="K135" s="279"/>
      <c r="L135" s="257"/>
      <c r="M135" s="257"/>
      <c r="N135" s="257"/>
      <c r="O135" s="258"/>
      <c r="P135" s="257"/>
      <c r="Q135" s="257"/>
      <c r="R135" s="257"/>
      <c r="S135" s="258"/>
      <c r="T135" s="257"/>
      <c r="U135" s="257"/>
      <c r="V135" s="257"/>
      <c r="W135" s="258"/>
      <c r="X135" s="257"/>
      <c r="Y135" s="257"/>
      <c r="Z135" s="257"/>
      <c r="AA135" s="263"/>
      <c r="AB135" s="258"/>
      <c r="AC135" s="193"/>
      <c r="AD135" s="193"/>
      <c r="AE135" s="193"/>
      <c r="AF135" s="193"/>
    </row>
    <row r="136" s="2" customFormat="1" ht="18.5" spans="3:32">
      <c r="C136" s="205" t="s">
        <v>160</v>
      </c>
      <c r="D136" s="8"/>
      <c r="E136" s="206"/>
      <c r="F136" s="279">
        <f t="shared" ref="F136:K136" si="206">-F179</f>
        <v>937.431</v>
      </c>
      <c r="G136" s="279">
        <f t="shared" si="206"/>
        <v>1215.1</v>
      </c>
      <c r="H136" s="279">
        <f t="shared" si="206"/>
        <v>1629.8</v>
      </c>
      <c r="I136" s="279">
        <f t="shared" si="206"/>
        <v>2474.5</v>
      </c>
      <c r="J136" s="279">
        <f t="shared" si="206"/>
        <v>3236</v>
      </c>
      <c r="K136" s="279">
        <f t="shared" si="206"/>
        <v>3205.7</v>
      </c>
      <c r="L136" s="257"/>
      <c r="M136" s="73">
        <f t="shared" ref="M136:O136" si="207">-M179</f>
        <v>2000.6</v>
      </c>
      <c r="N136" s="73"/>
      <c r="O136" s="279">
        <f t="shared" si="207"/>
        <v>4355</v>
      </c>
      <c r="P136" s="257"/>
      <c r="Q136" s="73">
        <f t="shared" ref="Q136" si="208">-Q179</f>
        <v>2277.5</v>
      </c>
      <c r="R136" s="73"/>
      <c r="S136" s="279">
        <f t="shared" ref="S136" si="209">-S179</f>
        <v>5247.4</v>
      </c>
      <c r="T136" s="257"/>
      <c r="U136" s="73">
        <f t="shared" ref="U136" si="210">-U179</f>
        <v>2466.5</v>
      </c>
      <c r="V136" s="73"/>
      <c r="W136" s="279">
        <f t="shared" ref="W136" si="211">-W179</f>
        <v>5494</v>
      </c>
      <c r="X136" s="257"/>
      <c r="Y136" s="73">
        <f t="shared" ref="Y136" si="212">-Y179</f>
        <v>2604.2</v>
      </c>
      <c r="Z136" s="73"/>
      <c r="AA136" s="263"/>
      <c r="AB136" s="258"/>
      <c r="AC136" s="193"/>
      <c r="AD136" s="193"/>
      <c r="AE136" s="193"/>
      <c r="AF136" s="193"/>
    </row>
    <row r="137" s="2" customFormat="1" ht="18.5" spans="3:32">
      <c r="C137" s="205" t="s">
        <v>161</v>
      </c>
      <c r="D137" s="8"/>
      <c r="E137" s="206"/>
      <c r="F137" s="280">
        <f>F136/AVERAGE(F133:F133)</f>
        <v>3.93343095953408</v>
      </c>
      <c r="G137" s="280">
        <f t="shared" ref="G137:K137" si="213">G136/AVERAGE(F133:G133)</f>
        <v>4.14480730790484</v>
      </c>
      <c r="H137" s="280">
        <f t="shared" si="213"/>
        <v>3.94624697336562</v>
      </c>
      <c r="I137" s="280">
        <f t="shared" si="213"/>
        <v>3.98534385569335</v>
      </c>
      <c r="J137" s="280">
        <f t="shared" si="213"/>
        <v>4.10764153338411</v>
      </c>
      <c r="K137" s="280">
        <f t="shared" si="213"/>
        <v>3.94426330359889</v>
      </c>
      <c r="L137" s="257"/>
      <c r="M137" s="32">
        <f>M136/AVERAGE(M133,K133)</f>
        <v>2.21011931064958</v>
      </c>
      <c r="N137" s="32"/>
      <c r="O137" s="280">
        <f>O136/AVERAGE(O133,K133)</f>
        <v>4.83056957462149</v>
      </c>
      <c r="P137" s="257"/>
      <c r="Q137" s="32">
        <f>Q136/AVERAGE(Q133,O133)</f>
        <v>1.8838661648538</v>
      </c>
      <c r="R137" s="32"/>
      <c r="S137" s="280">
        <f>S136/AVERAGE(S133,O133)</f>
        <v>4.27347503868393</v>
      </c>
      <c r="T137" s="257"/>
      <c r="U137" s="32">
        <f>U136/AVERAGE(U133,S133)</f>
        <v>1.59566553453016</v>
      </c>
      <c r="V137" s="32"/>
      <c r="W137" s="280">
        <f>W136/AVERAGE(W133,S133)</f>
        <v>3.59190611617796</v>
      </c>
      <c r="X137" s="257"/>
      <c r="Y137" s="32">
        <f>Y136/AVERAGE(Y133,W133)</f>
        <v>1.44409016552527</v>
      </c>
      <c r="Z137" s="32"/>
      <c r="AA137" s="263"/>
      <c r="AB137" s="258"/>
      <c r="AC137" s="193"/>
      <c r="AD137" s="193"/>
      <c r="AE137" s="193"/>
      <c r="AF137" s="193"/>
    </row>
    <row r="138" s="2" customFormat="1" ht="18.5" spans="3:32">
      <c r="C138" s="205" t="s">
        <v>162</v>
      </c>
      <c r="D138" s="8"/>
      <c r="E138" s="206"/>
      <c r="F138" s="281">
        <f t="shared" ref="F138:K138" si="214">365/F137</f>
        <v>92.7943069943281</v>
      </c>
      <c r="G138" s="281">
        <f t="shared" si="214"/>
        <v>88.0619948975393</v>
      </c>
      <c r="H138" s="281">
        <f t="shared" si="214"/>
        <v>92.4929439194993</v>
      </c>
      <c r="I138" s="281">
        <f t="shared" si="214"/>
        <v>91.5855728429986</v>
      </c>
      <c r="J138" s="281">
        <f t="shared" si="214"/>
        <v>88.8587762669963</v>
      </c>
      <c r="K138" s="281">
        <f t="shared" si="214"/>
        <v>92.5394609601647</v>
      </c>
      <c r="L138" s="257"/>
      <c r="M138" s="43">
        <f>180/M137</f>
        <v>81.443566929921</v>
      </c>
      <c r="N138" s="43"/>
      <c r="O138" s="281">
        <f t="shared" ref="O138" si="215">365/O137</f>
        <v>75.560447761194</v>
      </c>
      <c r="P138" s="257"/>
      <c r="Q138" s="43">
        <f>180/Q137</f>
        <v>95.5481888035126</v>
      </c>
      <c r="R138" s="43"/>
      <c r="S138" s="281">
        <f t="shared" ref="S138" si="216">365/S137</f>
        <v>85.4105842893624</v>
      </c>
      <c r="T138" s="257"/>
      <c r="U138" s="43">
        <f t="shared" ref="U138" si="217">90/U137</f>
        <v>56.4027974863166</v>
      </c>
      <c r="V138" s="43"/>
      <c r="W138" s="281">
        <f t="shared" ref="W138" si="218">365/W137</f>
        <v>101.617355296687</v>
      </c>
      <c r="X138" s="257"/>
      <c r="Y138" s="43">
        <f t="shared" ref="Y138" si="219">90/Y137</f>
        <v>62.3229782658782</v>
      </c>
      <c r="Z138" s="43"/>
      <c r="AA138" s="263"/>
      <c r="AB138" s="258"/>
      <c r="AC138" s="193"/>
      <c r="AD138" s="193"/>
      <c r="AE138" s="193"/>
      <c r="AF138" s="193"/>
    </row>
    <row r="139" s="2" customFormat="1" ht="18.5" spans="3:32">
      <c r="C139" s="205"/>
      <c r="D139" s="8"/>
      <c r="E139" s="206"/>
      <c r="F139" s="281"/>
      <c r="G139" s="281"/>
      <c r="H139" s="281"/>
      <c r="I139" s="281"/>
      <c r="J139" s="281"/>
      <c r="K139" s="281"/>
      <c r="L139" s="257"/>
      <c r="M139" s="43"/>
      <c r="N139" s="43"/>
      <c r="O139" s="281"/>
      <c r="P139" s="257"/>
      <c r="Q139" s="43"/>
      <c r="R139" s="43"/>
      <c r="S139" s="281"/>
      <c r="T139" s="257"/>
      <c r="U139" s="43"/>
      <c r="V139" s="43"/>
      <c r="W139" s="281"/>
      <c r="X139" s="257"/>
      <c r="Y139" s="43"/>
      <c r="Z139" s="43"/>
      <c r="AA139" s="263"/>
      <c r="AB139" s="258"/>
      <c r="AC139" s="193"/>
      <c r="AD139" s="193"/>
      <c r="AE139" s="193"/>
      <c r="AF139" s="193"/>
    </row>
    <row r="140" s="130" customFormat="1" ht="26" spans="2:32">
      <c r="B140" s="196"/>
      <c r="C140" s="282" t="s">
        <v>163</v>
      </c>
      <c r="D140" s="196"/>
      <c r="E140" s="196"/>
      <c r="F140" s="196"/>
      <c r="G140" s="196"/>
      <c r="H140" s="196"/>
      <c r="I140" s="305"/>
      <c r="J140" s="305"/>
      <c r="K140" s="305"/>
      <c r="L140" s="305"/>
      <c r="M140" s="305"/>
      <c r="N140" s="305"/>
      <c r="O140" s="305"/>
      <c r="P140" s="305"/>
      <c r="Q140" s="305"/>
      <c r="R140" s="305"/>
      <c r="S140" s="305"/>
      <c r="T140" s="305"/>
      <c r="U140" s="305"/>
      <c r="V140" s="305"/>
      <c r="W140" s="305"/>
      <c r="X140" s="305"/>
      <c r="Y140" s="305"/>
      <c r="Z140" s="305"/>
      <c r="AA140" s="305"/>
      <c r="AB140" s="305"/>
      <c r="AC140" s="196"/>
      <c r="AD140" s="196"/>
      <c r="AE140" s="196"/>
      <c r="AF140" s="196"/>
    </row>
    <row r="141" s="2" customFormat="1" ht="18.5" spans="4:32">
      <c r="D141" s="8"/>
      <c r="E141" s="206"/>
      <c r="F141" s="206"/>
      <c r="G141" s="206"/>
      <c r="H141" s="206"/>
      <c r="I141" s="258"/>
      <c r="J141" s="258"/>
      <c r="K141" s="258"/>
      <c r="L141" s="257"/>
      <c r="M141" s="257"/>
      <c r="N141" s="257"/>
      <c r="O141" s="258"/>
      <c r="P141" s="257"/>
      <c r="Q141" s="257"/>
      <c r="R141" s="257"/>
      <c r="S141" s="258"/>
      <c r="T141" s="257"/>
      <c r="U141" s="257"/>
      <c r="V141" s="257"/>
      <c r="W141" s="258"/>
      <c r="X141" s="257"/>
      <c r="Y141" s="257"/>
      <c r="Z141" s="257"/>
      <c r="AA141" s="263"/>
      <c r="AB141" s="258"/>
      <c r="AC141" s="193"/>
      <c r="AD141" s="193"/>
      <c r="AE141" s="193"/>
      <c r="AF141" s="193"/>
    </row>
    <row r="142" s="8" customFormat="1" ht="18.5" spans="3:32">
      <c r="C142" s="8" t="s">
        <v>164</v>
      </c>
      <c r="E142" s="206"/>
      <c r="F142" s="283">
        <f t="shared" ref="F142:K142" si="220">F59/F100</f>
        <v>1.60738235294118</v>
      </c>
      <c r="G142" s="283">
        <f t="shared" si="220"/>
        <v>1.45898524844721</v>
      </c>
      <c r="H142" s="283">
        <f t="shared" si="220"/>
        <v>1.71582089552239</v>
      </c>
      <c r="I142" s="283">
        <f t="shared" si="220"/>
        <v>1.5206132231405</v>
      </c>
      <c r="J142" s="283">
        <f t="shared" si="220"/>
        <v>1.84721895424837</v>
      </c>
      <c r="K142" s="283">
        <f t="shared" si="220"/>
        <v>1.33359673748103</v>
      </c>
      <c r="L142" s="148"/>
      <c r="M142" s="148"/>
      <c r="N142" s="148"/>
      <c r="O142" s="283">
        <f>O59/O100</f>
        <v>1.66628630217519</v>
      </c>
      <c r="P142" s="275"/>
      <c r="Q142" s="148"/>
      <c r="R142" s="148"/>
      <c r="S142" s="283">
        <f>S59/S100</f>
        <v>2.15530973451327</v>
      </c>
      <c r="T142" s="275"/>
      <c r="U142" s="98"/>
      <c r="V142" s="98"/>
      <c r="W142" s="283">
        <f>W59/W100</f>
        <v>2.39873379559843</v>
      </c>
      <c r="X142" s="275"/>
      <c r="Y142" s="98"/>
      <c r="Z142" s="148"/>
      <c r="AA142" s="318">
        <f>W142*(1+AA143)</f>
        <v>2.71056918902623</v>
      </c>
      <c r="AB142" s="319">
        <f>AA142*(1+AB143)</f>
        <v>2.92741472414833</v>
      </c>
      <c r="AC142" s="319">
        <f t="shared" ref="AC142:AF142" si="221">AB142*(1+AC143)</f>
        <v>3.07378546035574</v>
      </c>
      <c r="AD142" s="319">
        <f t="shared" si="221"/>
        <v>3.22747473337353</v>
      </c>
      <c r="AE142" s="319">
        <f t="shared" si="221"/>
        <v>3.38884847004221</v>
      </c>
      <c r="AF142" s="319">
        <f t="shared" si="221"/>
        <v>3.55829089354432</v>
      </c>
    </row>
    <row r="143" s="2" customFormat="1" ht="18.5" spans="3:32">
      <c r="C143" s="2" t="s">
        <v>18</v>
      </c>
      <c r="D143" s="8"/>
      <c r="E143" s="206"/>
      <c r="F143" s="284"/>
      <c r="G143" s="202">
        <f>G142/F142-1</f>
        <v>-0.0923222183088148</v>
      </c>
      <c r="H143" s="202">
        <f t="shared" ref="H143:K143" si="222">H142/G142-1</f>
        <v>0.176037178819</v>
      </c>
      <c r="I143" s="202">
        <f t="shared" si="222"/>
        <v>-0.113769259303991</v>
      </c>
      <c r="J143" s="202">
        <f t="shared" si="222"/>
        <v>0.214785539240108</v>
      </c>
      <c r="K143" s="202">
        <f t="shared" si="222"/>
        <v>-0.278051616775623</v>
      </c>
      <c r="L143" s="146"/>
      <c r="M143" s="146"/>
      <c r="N143" s="146"/>
      <c r="O143" s="202">
        <f>O142/K142-1</f>
        <v>0.24946789036284</v>
      </c>
      <c r="P143" s="257"/>
      <c r="Q143" s="146"/>
      <c r="R143" s="146"/>
      <c r="S143" s="202">
        <f>S142/O142-1</f>
        <v>0.293481037262147</v>
      </c>
      <c r="T143" s="257"/>
      <c r="U143" s="99"/>
      <c r="V143" s="99"/>
      <c r="W143" s="202">
        <f>W142/S142-1</f>
        <v>0.11294156806661</v>
      </c>
      <c r="X143" s="257"/>
      <c r="Y143" s="16"/>
      <c r="Z143" s="146"/>
      <c r="AA143" s="320">
        <v>0.13</v>
      </c>
      <c r="AB143" s="320">
        <v>0.08</v>
      </c>
      <c r="AC143" s="320">
        <v>0.05</v>
      </c>
      <c r="AD143" s="320">
        <v>0.05</v>
      </c>
      <c r="AE143" s="320">
        <v>0.05</v>
      </c>
      <c r="AF143" s="320">
        <v>0.05</v>
      </c>
    </row>
    <row r="144" s="2" customFormat="1" ht="18.5" spans="3:32">
      <c r="C144" s="2" t="s">
        <v>149</v>
      </c>
      <c r="D144" s="8"/>
      <c r="E144" s="206"/>
      <c r="F144" s="285"/>
      <c r="G144" s="284">
        <f>G142-F142</f>
        <v>-0.148397104493972</v>
      </c>
      <c r="H144" s="284">
        <f t="shared" ref="H144:K144" si="223">H142-G142</f>
        <v>0.256835647075183</v>
      </c>
      <c r="I144" s="284">
        <f t="shared" si="223"/>
        <v>-0.195207672381892</v>
      </c>
      <c r="J144" s="284">
        <f t="shared" si="223"/>
        <v>0.32660573110787</v>
      </c>
      <c r="K144" s="284">
        <f t="shared" si="223"/>
        <v>-0.513622216767334</v>
      </c>
      <c r="L144" s="146"/>
      <c r="M144" s="146"/>
      <c r="N144" s="146"/>
      <c r="O144" s="284">
        <f>O142-K142</f>
        <v>0.332689564694159</v>
      </c>
      <c r="P144" s="257"/>
      <c r="Q144" s="146"/>
      <c r="R144" s="146"/>
      <c r="S144" s="284">
        <f>S142-O142</f>
        <v>0.489023432338083</v>
      </c>
      <c r="T144" s="257"/>
      <c r="U144" s="146"/>
      <c r="V144" s="146"/>
      <c r="W144" s="284">
        <f>W142-S142</f>
        <v>0.243424061085158</v>
      </c>
      <c r="X144" s="257"/>
      <c r="Y144" s="99"/>
      <c r="Z144" s="146"/>
      <c r="AA144" s="321">
        <f>AA142-W142</f>
        <v>0.311835393427796</v>
      </c>
      <c r="AB144" s="321">
        <f>AB142-AA142</f>
        <v>0.216845535122098</v>
      </c>
      <c r="AC144" s="321">
        <f t="shared" ref="AC144:AF144" si="224">AC142-AB142</f>
        <v>0.146370736207416</v>
      </c>
      <c r="AD144" s="321">
        <f t="shared" si="224"/>
        <v>0.153689273017787</v>
      </c>
      <c r="AE144" s="321">
        <f t="shared" si="224"/>
        <v>0.161373736668676</v>
      </c>
      <c r="AF144" s="321">
        <f t="shared" si="224"/>
        <v>0.16944242350211</v>
      </c>
    </row>
    <row r="145" s="2" customFormat="1" ht="18.5" spans="4:32">
      <c r="D145" s="8"/>
      <c r="E145" s="206"/>
      <c r="F145" s="285"/>
      <c r="G145" s="284"/>
      <c r="H145" s="284"/>
      <c r="I145" s="284"/>
      <c r="J145" s="284"/>
      <c r="K145" s="284"/>
      <c r="L145" s="146"/>
      <c r="M145" s="146"/>
      <c r="N145" s="146"/>
      <c r="O145" s="284"/>
      <c r="P145" s="257"/>
      <c r="Q145" s="146"/>
      <c r="R145" s="146"/>
      <c r="S145" s="284"/>
      <c r="T145" s="257"/>
      <c r="U145" s="146"/>
      <c r="V145" s="146"/>
      <c r="W145" s="284"/>
      <c r="X145" s="257"/>
      <c r="Y145" s="99"/>
      <c r="Z145" s="146"/>
      <c r="AA145" s="321"/>
      <c r="AB145" s="258"/>
      <c r="AC145" s="193"/>
      <c r="AD145" s="193"/>
      <c r="AE145" s="193"/>
      <c r="AF145" s="193"/>
    </row>
    <row r="146" s="2" customFormat="1" ht="18.5" spans="3:32">
      <c r="C146" s="8" t="s">
        <v>165</v>
      </c>
      <c r="D146" s="8"/>
      <c r="E146" s="206"/>
      <c r="F146" s="201">
        <f>F142*1000000/$AO$398</f>
        <v>10683.9492158405</v>
      </c>
      <c r="G146" s="201">
        <f t="shared" ref="G146:S146" si="225">G142*1000000/$AO$398</f>
        <v>9697.58332393538</v>
      </c>
      <c r="H146" s="201">
        <f t="shared" si="225"/>
        <v>11404.7185336431</v>
      </c>
      <c r="I146" s="201">
        <f t="shared" si="225"/>
        <v>10107.2121535001</v>
      </c>
      <c r="J146" s="201">
        <f t="shared" si="225"/>
        <v>12278.0951661038</v>
      </c>
      <c r="K146" s="201">
        <f t="shared" si="225"/>
        <v>8864.15095424364</v>
      </c>
      <c r="L146" s="201">
        <f t="shared" si="225"/>
        <v>0</v>
      </c>
      <c r="M146" s="201">
        <f t="shared" si="225"/>
        <v>0</v>
      </c>
      <c r="N146" s="201">
        <f t="shared" si="225"/>
        <v>0</v>
      </c>
      <c r="O146" s="201">
        <f t="shared" si="225"/>
        <v>11075.4719926566</v>
      </c>
      <c r="P146" s="201">
        <f t="shared" si="225"/>
        <v>0</v>
      </c>
      <c r="Q146" s="201">
        <f t="shared" si="225"/>
        <v>0</v>
      </c>
      <c r="R146" s="201">
        <f t="shared" si="225"/>
        <v>0</v>
      </c>
      <c r="S146" s="201">
        <f t="shared" si="225"/>
        <v>14325.9130012293</v>
      </c>
      <c r="T146" s="257"/>
      <c r="U146" s="146"/>
      <c r="V146" s="146"/>
      <c r="W146" s="201">
        <f t="shared" ref="W146" si="226">W142*1000000/$AO$398</f>
        <v>15943.9040795739</v>
      </c>
      <c r="X146" s="257"/>
      <c r="Y146" s="99"/>
      <c r="Z146" s="146"/>
      <c r="AA146" s="201">
        <f t="shared" ref="AA146:AF146" si="227">AA142*1000000/$AO$398</f>
        <v>18016.6116099185</v>
      </c>
      <c r="AB146" s="201">
        <f t="shared" si="227"/>
        <v>19457.940538712</v>
      </c>
      <c r="AC146" s="201">
        <f t="shared" si="227"/>
        <v>20430.8375656476</v>
      </c>
      <c r="AD146" s="201">
        <f t="shared" si="227"/>
        <v>21452.37944393</v>
      </c>
      <c r="AE146" s="201">
        <f t="shared" si="227"/>
        <v>22524.9984161265</v>
      </c>
      <c r="AF146" s="201">
        <f t="shared" si="227"/>
        <v>23651.2483369328</v>
      </c>
    </row>
    <row r="147" s="2" customFormat="1" ht="18.5" spans="3:32">
      <c r="C147" s="2" t="s">
        <v>18</v>
      </c>
      <c r="D147" s="8"/>
      <c r="E147" s="206"/>
      <c r="F147" s="285"/>
      <c r="G147" s="202">
        <f>G146/F146-1</f>
        <v>-0.092322218308815</v>
      </c>
      <c r="H147" s="202">
        <f t="shared" ref="H147:R147" si="228">H146/G146-1</f>
        <v>0.176037178819</v>
      </c>
      <c r="I147" s="202">
        <f t="shared" si="228"/>
        <v>-0.113769259303991</v>
      </c>
      <c r="J147" s="202">
        <f t="shared" si="228"/>
        <v>0.214785539240108</v>
      </c>
      <c r="K147" s="202">
        <f t="shared" si="228"/>
        <v>-0.278051616775623</v>
      </c>
      <c r="L147" s="202">
        <f t="shared" si="228"/>
        <v>-1</v>
      </c>
      <c r="M147" s="202" t="e">
        <f t="shared" si="228"/>
        <v>#DIV/0!</v>
      </c>
      <c r="N147" s="202" t="e">
        <f t="shared" si="228"/>
        <v>#DIV/0!</v>
      </c>
      <c r="O147" s="202">
        <f>O146/K146-1</f>
        <v>0.24946789036284</v>
      </c>
      <c r="P147" s="202">
        <f t="shared" si="228"/>
        <v>-1</v>
      </c>
      <c r="Q147" s="202" t="e">
        <f t="shared" si="228"/>
        <v>#DIV/0!</v>
      </c>
      <c r="R147" s="202" t="e">
        <f t="shared" si="228"/>
        <v>#DIV/0!</v>
      </c>
      <c r="S147" s="202">
        <f>S146/O146-1</f>
        <v>0.293481037262147</v>
      </c>
      <c r="T147" s="257"/>
      <c r="U147" s="146"/>
      <c r="V147" s="146"/>
      <c r="W147" s="202">
        <f>W146/S146-1</f>
        <v>0.11294156806661</v>
      </c>
      <c r="X147" s="257"/>
      <c r="Y147" s="99"/>
      <c r="Z147" s="146"/>
      <c r="AA147" s="202">
        <f>AA146/W146-1</f>
        <v>0.13</v>
      </c>
      <c r="AB147" s="202">
        <f>AB146/AA146-1</f>
        <v>0.0800000000000001</v>
      </c>
      <c r="AC147" s="202">
        <f t="shared" ref="AC147:AF147" si="229">AC146/AB146-1</f>
        <v>0.0499999999999998</v>
      </c>
      <c r="AD147" s="202">
        <f t="shared" si="229"/>
        <v>0.05</v>
      </c>
      <c r="AE147" s="202">
        <f t="shared" si="229"/>
        <v>0.05</v>
      </c>
      <c r="AF147" s="202">
        <f t="shared" si="229"/>
        <v>0.05</v>
      </c>
    </row>
    <row r="148" s="2" customFormat="1" ht="18.5" spans="3:32">
      <c r="C148" s="2" t="s">
        <v>149</v>
      </c>
      <c r="D148" s="8"/>
      <c r="E148" s="206"/>
      <c r="F148" s="285"/>
      <c r="G148" s="204">
        <f>G146-F146</f>
        <v>-986.365891905119</v>
      </c>
      <c r="H148" s="204">
        <f t="shared" ref="H148:N148" si="230">H146-G146</f>
        <v>1707.13520970776</v>
      </c>
      <c r="I148" s="204">
        <f t="shared" si="230"/>
        <v>-1297.50638014308</v>
      </c>
      <c r="J148" s="204">
        <f t="shared" si="230"/>
        <v>2170.88301260369</v>
      </c>
      <c r="K148" s="204">
        <f t="shared" si="230"/>
        <v>-3413.94421186011</v>
      </c>
      <c r="L148" s="204">
        <f t="shared" si="230"/>
        <v>-8864.15095424364</v>
      </c>
      <c r="M148" s="204">
        <f t="shared" si="230"/>
        <v>0</v>
      </c>
      <c r="N148" s="204">
        <f t="shared" si="230"/>
        <v>0</v>
      </c>
      <c r="O148" s="204">
        <f>O146-K146</f>
        <v>2211.32103841292</v>
      </c>
      <c r="P148" s="204">
        <f t="shared" ref="P148:S148" si="231">P146-L146</f>
        <v>0</v>
      </c>
      <c r="Q148" s="204">
        <f t="shared" si="231"/>
        <v>0</v>
      </c>
      <c r="R148" s="204">
        <f t="shared" si="231"/>
        <v>0</v>
      </c>
      <c r="S148" s="204">
        <f t="shared" si="231"/>
        <v>3250.44100857271</v>
      </c>
      <c r="T148" s="257"/>
      <c r="U148" s="146"/>
      <c r="V148" s="146"/>
      <c r="W148" s="204">
        <f>W146-S146</f>
        <v>1617.99107834467</v>
      </c>
      <c r="X148" s="257"/>
      <c r="Y148" s="99"/>
      <c r="Z148" s="146"/>
      <c r="AA148" s="204">
        <f>AA146-W146</f>
        <v>2072.70753034461</v>
      </c>
      <c r="AB148" s="223">
        <f>AB146-AA146</f>
        <v>1441.32892879349</v>
      </c>
      <c r="AC148" s="223">
        <f t="shared" ref="AC148:AF148" si="232">AC146-AB146</f>
        <v>972.8970269356</v>
      </c>
      <c r="AD148" s="223">
        <f t="shared" si="232"/>
        <v>1021.54187828238</v>
      </c>
      <c r="AE148" s="223">
        <f t="shared" si="232"/>
        <v>1072.6189721965</v>
      </c>
      <c r="AF148" s="223">
        <f t="shared" si="232"/>
        <v>1126.24992080633</v>
      </c>
    </row>
    <row r="149" s="2" customFormat="1" ht="18.5" spans="4:32">
      <c r="D149" s="8"/>
      <c r="E149" s="206"/>
      <c r="F149" s="285"/>
      <c r="G149" s="284"/>
      <c r="H149" s="284"/>
      <c r="I149" s="284"/>
      <c r="J149" s="284"/>
      <c r="K149" s="284"/>
      <c r="L149" s="146"/>
      <c r="M149" s="146"/>
      <c r="N149" s="146"/>
      <c r="O149" s="284"/>
      <c r="P149" s="257"/>
      <c r="Q149" s="146"/>
      <c r="R149" s="146"/>
      <c r="S149" s="284"/>
      <c r="T149" s="257"/>
      <c r="U149" s="146"/>
      <c r="V149" s="146"/>
      <c r="W149" s="284"/>
      <c r="X149" s="257"/>
      <c r="Y149" s="99"/>
      <c r="Z149" s="146"/>
      <c r="AA149" s="321"/>
      <c r="AB149" s="258"/>
      <c r="AC149" s="193"/>
      <c r="AD149" s="193"/>
      <c r="AE149" s="193"/>
      <c r="AF149" s="193"/>
    </row>
    <row r="150" s="2" customFormat="1" ht="18.5" spans="3:32">
      <c r="C150" s="8" t="s">
        <v>166</v>
      </c>
      <c r="D150" s="8"/>
      <c r="E150" s="206"/>
      <c r="F150" s="283">
        <f t="shared" ref="F150:K150" si="233">F142*F52</f>
        <v>0.140200720525999</v>
      </c>
      <c r="G150" s="283">
        <f t="shared" si="233"/>
        <v>0.151015505143025</v>
      </c>
      <c r="H150" s="283">
        <f t="shared" si="233"/>
        <v>0.167598371777476</v>
      </c>
      <c r="I150" s="283">
        <f t="shared" si="233"/>
        <v>0.11651652892562</v>
      </c>
      <c r="J150" s="283">
        <f t="shared" si="233"/>
        <v>0.156252450980392</v>
      </c>
      <c r="K150" s="283">
        <f t="shared" si="233"/>
        <v>0.0832511380880121</v>
      </c>
      <c r="L150" s="98"/>
      <c r="M150" s="98"/>
      <c r="N150" s="98"/>
      <c r="O150" s="283">
        <f>O142*O52</f>
        <v>0.140339329805996</v>
      </c>
      <c r="P150" s="98"/>
      <c r="Q150" s="98"/>
      <c r="R150" s="98"/>
      <c r="S150" s="283">
        <f>S142*S52</f>
        <v>0.225706164099202</v>
      </c>
      <c r="T150" s="257"/>
      <c r="U150" s="146"/>
      <c r="V150" s="146"/>
      <c r="W150" s="283">
        <f>W142*W52</f>
        <v>0.224683752046984</v>
      </c>
      <c r="X150" s="257"/>
      <c r="Y150" s="99"/>
      <c r="Z150" s="146"/>
      <c r="AA150" s="283">
        <f t="shared" ref="AA150:AF150" si="234">AA142*AA52</f>
        <v>0.271056918902623</v>
      </c>
      <c r="AB150" s="283">
        <f t="shared" si="234"/>
        <v>0.234193177931866</v>
      </c>
      <c r="AC150" s="283">
        <f t="shared" si="234"/>
        <v>0.215164982224902</v>
      </c>
      <c r="AD150" s="283">
        <f t="shared" si="234"/>
        <v>0.193648484002412</v>
      </c>
      <c r="AE150" s="283">
        <f t="shared" si="234"/>
        <v>0.203330908202532</v>
      </c>
      <c r="AF150" s="283">
        <f t="shared" si="234"/>
        <v>0.213497453612659</v>
      </c>
    </row>
    <row r="151" s="2" customFormat="1" ht="18.5" spans="3:32">
      <c r="C151" s="2" t="s">
        <v>18</v>
      </c>
      <c r="D151" s="8"/>
      <c r="E151" s="206"/>
      <c r="F151" s="285"/>
      <c r="G151" s="202">
        <f>G150/F150-1</f>
        <v>0.0771378675976291</v>
      </c>
      <c r="H151" s="202">
        <f t="shared" ref="H151:K151" si="235">H150/G150-1</f>
        <v>0.109809033309167</v>
      </c>
      <c r="I151" s="202">
        <f t="shared" si="235"/>
        <v>-0.304787226212906</v>
      </c>
      <c r="J151" s="202">
        <f t="shared" si="235"/>
        <v>0.341032490593145</v>
      </c>
      <c r="K151" s="202">
        <f t="shared" si="235"/>
        <v>-0.467201073866936</v>
      </c>
      <c r="L151" s="16"/>
      <c r="M151" s="16"/>
      <c r="N151" s="16"/>
      <c r="O151" s="202">
        <f>O150/K150-1</f>
        <v>0.68573467016909</v>
      </c>
      <c r="P151" s="16"/>
      <c r="Q151" s="16"/>
      <c r="R151" s="16"/>
      <c r="S151" s="202">
        <f>S150/O150-1</f>
        <v>0.608288741375751</v>
      </c>
      <c r="T151" s="257"/>
      <c r="U151" s="146"/>
      <c r="V151" s="146"/>
      <c r="W151" s="202">
        <f>W150/S150-1</f>
        <v>-0.00452983664092088</v>
      </c>
      <c r="X151" s="257"/>
      <c r="Y151" s="99"/>
      <c r="Z151" s="146"/>
      <c r="AA151" s="202">
        <f>AA150/W150-1</f>
        <v>0.206393058835609</v>
      </c>
      <c r="AB151" s="202">
        <f>AB150/AA150-1</f>
        <v>-0.136</v>
      </c>
      <c r="AC151" s="202">
        <f t="shared" ref="AC151:AF151" si="236">AC150/AB150-1</f>
        <v>-0.0812499999999999</v>
      </c>
      <c r="AD151" s="202">
        <f t="shared" si="236"/>
        <v>-0.1</v>
      </c>
      <c r="AE151" s="202">
        <f t="shared" si="236"/>
        <v>0.05</v>
      </c>
      <c r="AF151" s="202">
        <f t="shared" si="236"/>
        <v>0.0499999999999998</v>
      </c>
    </row>
    <row r="152" s="2" customFormat="1" ht="18.5" spans="3:32">
      <c r="C152" s="2" t="s">
        <v>149</v>
      </c>
      <c r="D152" s="8"/>
      <c r="E152" s="206"/>
      <c r="F152" s="285"/>
      <c r="G152" s="284">
        <f>G150-F150</f>
        <v>0.0108147846170267</v>
      </c>
      <c r="H152" s="284">
        <f t="shared" ref="H152:K152" si="237">H150-G150</f>
        <v>0.0165828666344511</v>
      </c>
      <c r="I152" s="284">
        <f t="shared" si="237"/>
        <v>-0.0510818428518564</v>
      </c>
      <c r="J152" s="284">
        <f t="shared" si="237"/>
        <v>0.0397359220547723</v>
      </c>
      <c r="K152" s="284">
        <f t="shared" si="237"/>
        <v>-0.07300131289238</v>
      </c>
      <c r="L152" s="99"/>
      <c r="M152" s="99"/>
      <c r="N152" s="99"/>
      <c r="O152" s="284">
        <f>O150-K150</f>
        <v>0.0570881917179843</v>
      </c>
      <c r="P152" s="99"/>
      <c r="Q152" s="99"/>
      <c r="R152" s="99"/>
      <c r="S152" s="284">
        <f>S150-O150</f>
        <v>0.085366834293206</v>
      </c>
      <c r="T152" s="257"/>
      <c r="U152" s="146"/>
      <c r="V152" s="146"/>
      <c r="W152" s="284">
        <f>W150-S150</f>
        <v>-0.00102241205221826</v>
      </c>
      <c r="X152" s="257"/>
      <c r="Y152" s="146"/>
      <c r="Z152" s="146"/>
      <c r="AA152" s="284">
        <f>AA150-W150</f>
        <v>0.0463731668556387</v>
      </c>
      <c r="AB152" s="284">
        <f>AB150-AA150</f>
        <v>-0.0368637409707567</v>
      </c>
      <c r="AC152" s="284">
        <f t="shared" ref="AC152:AF152" si="238">AC150-AB150</f>
        <v>-0.0190281957069641</v>
      </c>
      <c r="AD152" s="284">
        <f t="shared" si="238"/>
        <v>-0.0215164982224902</v>
      </c>
      <c r="AE152" s="284">
        <f t="shared" si="238"/>
        <v>0.00968242420012061</v>
      </c>
      <c r="AF152" s="284">
        <f t="shared" si="238"/>
        <v>0.0101665454101266</v>
      </c>
    </row>
    <row r="153" s="2" customFormat="1" ht="18.5" spans="4:32">
      <c r="D153" s="8"/>
      <c r="E153" s="206"/>
      <c r="F153" s="285"/>
      <c r="G153" s="284"/>
      <c r="H153" s="284"/>
      <c r="I153" s="284"/>
      <c r="J153" s="284"/>
      <c r="K153" s="284"/>
      <c r="L153" s="146"/>
      <c r="M153" s="146"/>
      <c r="N153" s="146"/>
      <c r="O153" s="284"/>
      <c r="P153" s="257"/>
      <c r="Q153" s="146"/>
      <c r="R153" s="146"/>
      <c r="S153" s="284"/>
      <c r="T153" s="257"/>
      <c r="U153" s="146"/>
      <c r="V153" s="146"/>
      <c r="W153" s="284"/>
      <c r="X153" s="257"/>
      <c r="Y153" s="146"/>
      <c r="Z153" s="146"/>
      <c r="AA153" s="272"/>
      <c r="AB153" s="258"/>
      <c r="AC153" s="193"/>
      <c r="AD153" s="193"/>
      <c r="AE153" s="193"/>
      <c r="AF153" s="193"/>
    </row>
    <row r="154" s="8" customFormat="1" ht="18.5" spans="3:38">
      <c r="C154" s="8" t="s">
        <v>167</v>
      </c>
      <c r="E154" s="206"/>
      <c r="F154" s="286">
        <f t="shared" ref="F154:K154" si="239">F59/F126*1000</f>
        <v>418.010481586402</v>
      </c>
      <c r="G154" s="286">
        <f t="shared" si="239"/>
        <v>283.820117806978</v>
      </c>
      <c r="H154" s="286">
        <f t="shared" si="239"/>
        <v>313.82553666708</v>
      </c>
      <c r="I154" s="286">
        <f t="shared" si="239"/>
        <v>349.101982734086</v>
      </c>
      <c r="J154" s="286">
        <f t="shared" si="239"/>
        <v>418.547945205479</v>
      </c>
      <c r="K154" s="286">
        <f t="shared" si="239"/>
        <v>308.554463266918</v>
      </c>
      <c r="L154" s="148"/>
      <c r="M154" s="148"/>
      <c r="N154" s="148"/>
      <c r="O154" s="286">
        <f>O59/O126*1000</f>
        <v>426.92468745293</v>
      </c>
      <c r="P154" s="275"/>
      <c r="Q154" s="308"/>
      <c r="R154" s="308"/>
      <c r="S154" s="286">
        <f>S59/S126*1000</f>
        <v>537.440235380655</v>
      </c>
      <c r="T154" s="275"/>
      <c r="U154" s="148"/>
      <c r="V154" s="148"/>
      <c r="W154" s="286">
        <f>W59/W126*1000</f>
        <v>577.590608138317</v>
      </c>
      <c r="X154" s="275"/>
      <c r="Y154" s="308"/>
      <c r="Z154" s="148"/>
      <c r="AA154" s="322">
        <f>W154*(1+AA155)</f>
        <v>623.797856789383</v>
      </c>
      <c r="AB154" s="323">
        <f>AA154*(1+AB155)</f>
        <v>654.987749628852</v>
      </c>
      <c r="AC154" s="323">
        <f t="shared" ref="AC154:AF154" si="240">AB154*(1+AC155)</f>
        <v>674.637382117718</v>
      </c>
      <c r="AD154" s="323">
        <f t="shared" si="240"/>
        <v>694.876503581249</v>
      </c>
      <c r="AE154" s="323">
        <f t="shared" si="240"/>
        <v>715.722798688687</v>
      </c>
      <c r="AF154" s="323">
        <f t="shared" si="240"/>
        <v>737.194482649347</v>
      </c>
      <c r="AK154" s="8">
        <v>745</v>
      </c>
      <c r="AL154" s="98">
        <f>AI155-AK154</f>
        <v>148</v>
      </c>
    </row>
    <row r="155" s="2" customFormat="1" ht="18.5" spans="3:35">
      <c r="C155" s="2" t="s">
        <v>18</v>
      </c>
      <c r="D155" s="8"/>
      <c r="E155" s="206"/>
      <c r="F155" s="287"/>
      <c r="G155" s="202">
        <f>G154/F154-1</f>
        <v>-0.32102152862329</v>
      </c>
      <c r="H155" s="202">
        <f t="shared" ref="H155:K155" si="241">H154/G154-1</f>
        <v>0.10571984499178</v>
      </c>
      <c r="I155" s="202">
        <f t="shared" si="241"/>
        <v>0.112407825193743</v>
      </c>
      <c r="J155" s="202">
        <f t="shared" si="241"/>
        <v>0.198927436411299</v>
      </c>
      <c r="K155" s="202">
        <f t="shared" si="241"/>
        <v>-0.262797806556096</v>
      </c>
      <c r="L155" s="146"/>
      <c r="M155" s="146"/>
      <c r="N155" s="146"/>
      <c r="O155" s="202">
        <f>O154/K154-1</f>
        <v>0.383628299953043</v>
      </c>
      <c r="P155" s="257"/>
      <c r="Q155" s="306"/>
      <c r="R155" s="306"/>
      <c r="S155" s="202">
        <f>S154/O154-1</f>
        <v>0.258864270855524</v>
      </c>
      <c r="T155" s="257"/>
      <c r="U155" s="146"/>
      <c r="V155" s="146"/>
      <c r="W155" s="202">
        <f>W154/S154-1</f>
        <v>0.0747066745555909</v>
      </c>
      <c r="X155" s="257"/>
      <c r="Y155" s="306"/>
      <c r="Z155" s="146"/>
      <c r="AA155" s="320">
        <v>0.08</v>
      </c>
      <c r="AB155" s="324">
        <v>0.05</v>
      </c>
      <c r="AC155" s="324">
        <v>0.03</v>
      </c>
      <c r="AD155" s="324">
        <v>0.03</v>
      </c>
      <c r="AE155" s="324">
        <v>0.03</v>
      </c>
      <c r="AF155" s="324">
        <v>0.03</v>
      </c>
      <c r="AI155" s="99">
        <v>893</v>
      </c>
    </row>
    <row r="156" s="2" customFormat="1" ht="18.5" spans="3:35">
      <c r="C156" s="2" t="s">
        <v>149</v>
      </c>
      <c r="D156" s="8"/>
      <c r="E156" s="206"/>
      <c r="F156" s="287"/>
      <c r="G156" s="287">
        <f>G154-F154</f>
        <v>-134.190363779425</v>
      </c>
      <c r="H156" s="287">
        <f t="shared" ref="H156:K156" si="242">H154-G154</f>
        <v>30.0054188601026</v>
      </c>
      <c r="I156" s="287">
        <f t="shared" si="242"/>
        <v>35.2764460670056</v>
      </c>
      <c r="J156" s="287">
        <f t="shared" si="242"/>
        <v>69.4459624713934</v>
      </c>
      <c r="K156" s="287">
        <f t="shared" si="242"/>
        <v>-109.993481938561</v>
      </c>
      <c r="L156" s="306"/>
      <c r="M156" s="306"/>
      <c r="N156" s="306"/>
      <c r="O156" s="287">
        <f>O154-K154</f>
        <v>118.370224186011</v>
      </c>
      <c r="P156" s="307"/>
      <c r="Q156" s="306"/>
      <c r="R156" s="306"/>
      <c r="S156" s="287">
        <f>S154-O154</f>
        <v>110.515547927725</v>
      </c>
      <c r="T156" s="257"/>
      <c r="U156" s="146"/>
      <c r="V156" s="146"/>
      <c r="W156" s="287">
        <f>W154-S154</f>
        <v>40.1503727576627</v>
      </c>
      <c r="X156" s="257"/>
      <c r="Y156" s="306"/>
      <c r="Z156" s="146"/>
      <c r="AA156" s="287">
        <f>AA154-W154</f>
        <v>46.2072486510655</v>
      </c>
      <c r="AB156" s="287">
        <f>AB154-AA154</f>
        <v>31.1898928394692</v>
      </c>
      <c r="AC156" s="287">
        <f t="shared" ref="AC156:AF156" si="243">AC154-AB154</f>
        <v>19.6496324888656</v>
      </c>
      <c r="AD156" s="287">
        <f t="shared" si="243"/>
        <v>20.2391214635315</v>
      </c>
      <c r="AE156" s="287">
        <f t="shared" si="243"/>
        <v>20.8462951074375</v>
      </c>
      <c r="AF156" s="287">
        <f t="shared" si="243"/>
        <v>21.4716839606606</v>
      </c>
      <c r="AI156" s="16">
        <f>AI155/6050</f>
        <v>0.147603305785124</v>
      </c>
    </row>
    <row r="157" s="2" customFormat="1" ht="18.5" spans="4:32">
      <c r="D157" s="8"/>
      <c r="E157" s="206"/>
      <c r="F157" s="285"/>
      <c r="G157" s="285"/>
      <c r="H157" s="285"/>
      <c r="I157" s="285"/>
      <c r="J157" s="285"/>
      <c r="K157" s="285"/>
      <c r="L157" s="146"/>
      <c r="M157" s="146"/>
      <c r="N157" s="146"/>
      <c r="O157" s="285"/>
      <c r="P157" s="257"/>
      <c r="Q157" s="146"/>
      <c r="R157" s="146"/>
      <c r="S157" s="285"/>
      <c r="T157" s="257"/>
      <c r="U157" s="146"/>
      <c r="V157" s="146"/>
      <c r="W157" s="285"/>
      <c r="X157" s="257"/>
      <c r="Y157" s="146"/>
      <c r="Z157" s="146"/>
      <c r="AA157" s="272"/>
      <c r="AB157" s="193"/>
      <c r="AC157" s="193"/>
      <c r="AD157" s="193"/>
      <c r="AE157" s="193"/>
      <c r="AF157" s="193"/>
    </row>
    <row r="158" s="2" customFormat="1" ht="18.5" spans="3:32">
      <c r="C158" s="8" t="s">
        <v>168</v>
      </c>
      <c r="D158" s="8"/>
      <c r="E158" s="206"/>
      <c r="F158" s="286">
        <f t="shared" ref="F158:K158" si="244">F154*F52</f>
        <v>36.4601307203588</v>
      </c>
      <c r="G158" s="286">
        <f t="shared" si="244"/>
        <v>29.3774309959548</v>
      </c>
      <c r="H158" s="286">
        <f t="shared" si="244"/>
        <v>30.6539272862638</v>
      </c>
      <c r="I158" s="286">
        <f t="shared" si="244"/>
        <v>26.7498339815957</v>
      </c>
      <c r="J158" s="286">
        <f t="shared" si="244"/>
        <v>35.4041095890411</v>
      </c>
      <c r="K158" s="286">
        <f t="shared" si="244"/>
        <v>19.2618274379005</v>
      </c>
      <c r="L158" s="308"/>
      <c r="M158" s="308"/>
      <c r="N158" s="308"/>
      <c r="O158" s="286">
        <f>O154*O52</f>
        <v>35.9568007230005</v>
      </c>
      <c r="P158" s="308"/>
      <c r="Q158" s="308"/>
      <c r="R158" s="308"/>
      <c r="S158" s="286">
        <f>S154*S52</f>
        <v>56.2812722542329</v>
      </c>
      <c r="T158" s="257"/>
      <c r="U158" s="146"/>
      <c r="V158" s="146"/>
      <c r="W158" s="286">
        <f>W154*W52</f>
        <v>54.1015535870417</v>
      </c>
      <c r="X158" s="257"/>
      <c r="Y158" s="146"/>
      <c r="Z158" s="146"/>
      <c r="AA158" s="322">
        <f>W158*(1+AA159)</f>
        <v>59.5117089457459</v>
      </c>
      <c r="AB158" s="323">
        <f>AA158*(1+AB159)</f>
        <v>64.2726456614055</v>
      </c>
      <c r="AC158" s="323">
        <f t="shared" ref="AC158:AF158" si="245">AB158*(1+AC159)</f>
        <v>66.2008250312477</v>
      </c>
      <c r="AD158" s="323">
        <f t="shared" si="245"/>
        <v>68.1868497821851</v>
      </c>
      <c r="AE158" s="323">
        <f t="shared" si="245"/>
        <v>70.2324552756507</v>
      </c>
      <c r="AF158" s="323">
        <f t="shared" si="245"/>
        <v>72.3394289339202</v>
      </c>
    </row>
    <row r="159" s="2" customFormat="1" ht="18.5" spans="3:32">
      <c r="C159" s="2" t="s">
        <v>18</v>
      </c>
      <c r="D159" s="8"/>
      <c r="E159" s="206"/>
      <c r="F159" s="285"/>
      <c r="G159" s="202">
        <f>G158/F158-1</f>
        <v>-0.194258758388082</v>
      </c>
      <c r="H159" s="202">
        <f t="shared" ref="H159" si="246">H158/G158-1</f>
        <v>0.0434515969243472</v>
      </c>
      <c r="I159" s="202">
        <f t="shared" ref="I159" si="247">I158/H158-1</f>
        <v>-0.127360297693979</v>
      </c>
      <c r="J159" s="202">
        <f t="shared" ref="J159" si="248">J158/I158-1</f>
        <v>0.323526329673661</v>
      </c>
      <c r="K159" s="202">
        <f t="shared" ref="K159" si="249">K158/J158-1</f>
        <v>-0.455943740388186</v>
      </c>
      <c r="L159" s="146"/>
      <c r="M159" s="146"/>
      <c r="N159" s="146"/>
      <c r="O159" s="202">
        <f>O158/K158-1</f>
        <v>0.866738804452696</v>
      </c>
      <c r="P159" s="257"/>
      <c r="Q159" s="306"/>
      <c r="R159" s="306"/>
      <c r="S159" s="202">
        <f>S158/O158-1</f>
        <v>0.56524693861964</v>
      </c>
      <c r="T159" s="257"/>
      <c r="U159" s="146"/>
      <c r="V159" s="146"/>
      <c r="W159" s="202">
        <f>W158/S158-1</f>
        <v>-0.0387290226373174</v>
      </c>
      <c r="X159" s="257"/>
      <c r="Y159" s="146"/>
      <c r="Z159" s="146"/>
      <c r="AA159" s="320">
        <v>0.1</v>
      </c>
      <c r="AB159" s="325">
        <v>0.08</v>
      </c>
      <c r="AC159" s="325">
        <v>0.03</v>
      </c>
      <c r="AD159" s="325">
        <v>0.03</v>
      </c>
      <c r="AE159" s="325">
        <v>0.03</v>
      </c>
      <c r="AF159" s="325">
        <v>0.03</v>
      </c>
    </row>
    <row r="160" s="2" customFormat="1" ht="18.5" spans="3:32">
      <c r="C160" s="2" t="s">
        <v>149</v>
      </c>
      <c r="D160" s="8"/>
      <c r="E160" s="206"/>
      <c r="F160" s="285"/>
      <c r="G160" s="284">
        <f>G158-F158</f>
        <v>-7.08269972440406</v>
      </c>
      <c r="H160" s="284">
        <f t="shared" ref="H160:K160" si="250">H158-G158</f>
        <v>1.27649629030905</v>
      </c>
      <c r="I160" s="284">
        <f t="shared" si="250"/>
        <v>-3.90409330466813</v>
      </c>
      <c r="J160" s="284">
        <f t="shared" si="250"/>
        <v>8.65427560744542</v>
      </c>
      <c r="K160" s="284">
        <f t="shared" si="250"/>
        <v>-16.1422821511406</v>
      </c>
      <c r="L160" s="146"/>
      <c r="M160" s="146"/>
      <c r="N160" s="146"/>
      <c r="O160" s="284">
        <f>O158-K158</f>
        <v>16.6949732851</v>
      </c>
      <c r="P160" s="257"/>
      <c r="Q160" s="306"/>
      <c r="R160" s="306"/>
      <c r="S160" s="284">
        <f>S158-O158</f>
        <v>20.3244715312325</v>
      </c>
      <c r="T160" s="257"/>
      <c r="U160" s="146"/>
      <c r="V160" s="146"/>
      <c r="W160" s="284">
        <f>W158-S158</f>
        <v>-2.17971866719121</v>
      </c>
      <c r="X160" s="257"/>
      <c r="Y160" s="146"/>
      <c r="Z160" s="146"/>
      <c r="AA160" s="326">
        <f>AA158-W158</f>
        <v>5.41015535870417</v>
      </c>
      <c r="AB160" s="287">
        <f>AB158-AA158</f>
        <v>4.76093671565967</v>
      </c>
      <c r="AC160" s="287">
        <f t="shared" ref="AC160:AF160" si="251">AC158-AB158</f>
        <v>1.92817936984217</v>
      </c>
      <c r="AD160" s="287">
        <f t="shared" si="251"/>
        <v>1.98602475093743</v>
      </c>
      <c r="AE160" s="287">
        <f t="shared" si="251"/>
        <v>2.04560549346556</v>
      </c>
      <c r="AF160" s="287">
        <f t="shared" si="251"/>
        <v>2.10697365826952</v>
      </c>
    </row>
    <row r="161" s="2" customFormat="1" ht="18.5" spans="4:32">
      <c r="D161" s="8"/>
      <c r="E161" s="206"/>
      <c r="F161" s="285"/>
      <c r="G161" s="285"/>
      <c r="H161" s="285"/>
      <c r="I161" s="285"/>
      <c r="J161" s="285"/>
      <c r="K161" s="285"/>
      <c r="L161" s="146"/>
      <c r="M161" s="146"/>
      <c r="N161" s="146"/>
      <c r="O161" s="285"/>
      <c r="P161" s="257"/>
      <c r="Q161" s="146"/>
      <c r="R161" s="146"/>
      <c r="S161" s="285"/>
      <c r="T161" s="257"/>
      <c r="U161" s="146"/>
      <c r="V161" s="146"/>
      <c r="W161" s="285"/>
      <c r="X161" s="257"/>
      <c r="Y161" s="146"/>
      <c r="Z161" s="146"/>
      <c r="AA161" s="272"/>
      <c r="AB161" s="193"/>
      <c r="AC161" s="193"/>
      <c r="AD161" s="193"/>
      <c r="AE161" s="193"/>
      <c r="AF161" s="193"/>
    </row>
    <row r="162" s="8" customFormat="1" ht="18.5" spans="3:32">
      <c r="C162" s="8" t="s">
        <v>169</v>
      </c>
      <c r="E162" s="206"/>
      <c r="F162" s="283"/>
      <c r="G162" s="283">
        <f>(G59-F59)/(G100-F100)</f>
        <v>1.0908</v>
      </c>
      <c r="H162" s="283">
        <f>(H59-G59)/(H100-G100)</f>
        <v>3.49433870967742</v>
      </c>
      <c r="I162" s="283">
        <f>(I59-H59)/(I100-H100)</f>
        <v>1.21645243128964</v>
      </c>
      <c r="J162" s="283">
        <f>(J59-I59)/(J100-I100)</f>
        <v>30.0752857142857</v>
      </c>
      <c r="K162" s="283">
        <f>(K59-J59)/(K100-J100)</f>
        <v>-5.35442021276596</v>
      </c>
      <c r="L162" s="98"/>
      <c r="M162" s="98"/>
      <c r="N162" s="98"/>
      <c r="O162" s="283">
        <f>(O59-K59)/(O100-K100)</f>
        <v>2.81115535248042</v>
      </c>
      <c r="P162" s="98"/>
      <c r="Q162" s="98"/>
      <c r="R162" s="98"/>
      <c r="S162" s="283">
        <f>ABS((S59-O59)/(S100-O100))</f>
        <v>136.482833333333</v>
      </c>
      <c r="T162" s="275"/>
      <c r="U162" s="148"/>
      <c r="V162" s="148"/>
      <c r="W162" s="283">
        <f>(W59-S59)/(W100-S100)</f>
        <v>-8.9054794520548</v>
      </c>
      <c r="X162" s="275"/>
      <c r="Y162" s="98"/>
      <c r="Z162" s="148"/>
      <c r="AA162" s="283">
        <f>(AA59-W59)/(AA100-W100)</f>
        <v>10.1761199215136</v>
      </c>
      <c r="AB162" s="283">
        <f>(AB59-AA59)/(AB100-AA100)</f>
        <v>13.3360004100091</v>
      </c>
      <c r="AC162" s="283">
        <f>(AC59-AB59)/(AC100-AB100)</f>
        <v>10.3232794706287</v>
      </c>
      <c r="AD162" s="283">
        <f>(AD59-AC59)/(AD100-AC100)</f>
        <v>18.0324047029767</v>
      </c>
      <c r="AE162" s="283">
        <f>(AE59-AD59)/(AE100-AD100)</f>
        <v>285.792887640141</v>
      </c>
      <c r="AF162" s="283">
        <f>(AF59-AE59)/(AF100-AE100)</f>
        <v>-14.7834147432819</v>
      </c>
    </row>
    <row r="163" s="2" customFormat="1" ht="18.5" spans="4:44">
      <c r="D163" s="8"/>
      <c r="E163" s="206"/>
      <c r="F163" s="206"/>
      <c r="G163" s="202"/>
      <c r="H163" s="202"/>
      <c r="I163" s="202"/>
      <c r="J163" s="202"/>
      <c r="K163" s="202"/>
      <c r="L163" s="16"/>
      <c r="M163" s="16"/>
      <c r="N163" s="16"/>
      <c r="O163" s="202"/>
      <c r="P163" s="16"/>
      <c r="Q163" s="16"/>
      <c r="R163" s="16"/>
      <c r="S163" s="202"/>
      <c r="T163" s="257"/>
      <c r="U163" s="257"/>
      <c r="V163" s="257"/>
      <c r="W163" s="258"/>
      <c r="X163" s="257"/>
      <c r="Y163" s="257"/>
      <c r="Z163" s="257"/>
      <c r="AA163" s="272"/>
      <c r="AB163" s="193"/>
      <c r="AC163" s="193"/>
      <c r="AD163" s="193"/>
      <c r="AE163" s="193"/>
      <c r="AF163" s="193"/>
      <c r="AK163" s="331"/>
      <c r="AP163" s="100"/>
      <c r="AQ163" s="100"/>
      <c r="AR163" s="332"/>
    </row>
    <row r="164" s="2" customFormat="1" ht="18.5" spans="3:44">
      <c r="C164" s="8" t="s">
        <v>170</v>
      </c>
      <c r="D164" s="8"/>
      <c r="E164" s="206"/>
      <c r="F164" s="206"/>
      <c r="G164" s="283">
        <f>(G51-F51)/(G100-F100)</f>
        <v>0.235972972972973</v>
      </c>
      <c r="H164" s="283">
        <f>(H51-G51)/(H100-G100)</f>
        <v>0.336494623655914</v>
      </c>
      <c r="I164" s="283">
        <f>(I51-H51)/(I100-H100)</f>
        <v>0.055708245243129</v>
      </c>
      <c r="J164" s="283">
        <f>(J51-I51)/(J100-I100)</f>
        <v>5.55</v>
      </c>
      <c r="K164" s="283">
        <f>(K51-J51)/(K100-J100)</f>
        <v>-0.701595744680852</v>
      </c>
      <c r="L164" s="98"/>
      <c r="M164" s="98"/>
      <c r="N164" s="98"/>
      <c r="O164" s="283">
        <f>(O51-K51)/(O100-K100)</f>
        <v>0.438903394255875</v>
      </c>
      <c r="P164" s="98"/>
      <c r="Q164" s="98"/>
      <c r="R164" s="98"/>
      <c r="S164" s="283">
        <f>ABS((S51-O51)/(S100-O100))</f>
        <v>28.2583333333333</v>
      </c>
      <c r="T164" s="257"/>
      <c r="U164" s="257"/>
      <c r="V164" s="257"/>
      <c r="W164" s="283">
        <f>(W51-S51)/(W100-S100)</f>
        <v>1.18356164383562</v>
      </c>
      <c r="X164" s="257"/>
      <c r="Y164" s="257"/>
      <c r="Z164" s="257"/>
      <c r="AA164" s="283">
        <f>(AA51-W51)/(AA100-W100)</f>
        <v>1.51066870308579</v>
      </c>
      <c r="AB164" s="283">
        <f>(AB51-AA51)/(AB100-AA100)</f>
        <v>-2.29724825167088</v>
      </c>
      <c r="AC164" s="283">
        <f>(AC51-AB51)/(AC100-AB100)</f>
        <v>-1.12983318332276</v>
      </c>
      <c r="AD164" s="283">
        <f>(AD51-AC51)/(AD100-AC100)</f>
        <v>-2.60732936252268</v>
      </c>
      <c r="AE164" s="283">
        <f>(AE51-AD51)/(AE100-AD100)</f>
        <v>15.3169953398176</v>
      </c>
      <c r="AF164" s="283">
        <f>(AF51-AE51)/(AF100-AE100)</f>
        <v>-0.777152304652617</v>
      </c>
      <c r="AK164" s="331"/>
      <c r="AP164" s="100"/>
      <c r="AQ164" s="100"/>
      <c r="AR164" s="332"/>
    </row>
    <row r="165" s="2" customFormat="1" ht="18.5" spans="4:32">
      <c r="D165" s="8"/>
      <c r="E165" s="206"/>
      <c r="F165" s="206"/>
      <c r="G165" s="284"/>
      <c r="H165" s="284"/>
      <c r="I165" s="258"/>
      <c r="J165" s="258"/>
      <c r="K165" s="258"/>
      <c r="L165" s="257"/>
      <c r="M165" s="257"/>
      <c r="N165" s="257"/>
      <c r="O165" s="258"/>
      <c r="P165" s="257"/>
      <c r="Q165" s="257"/>
      <c r="R165" s="257"/>
      <c r="S165" s="258"/>
      <c r="T165" s="257"/>
      <c r="U165" s="257"/>
      <c r="V165" s="257"/>
      <c r="W165" s="258"/>
      <c r="X165" s="257"/>
      <c r="Y165" s="257"/>
      <c r="Z165" s="257"/>
      <c r="AA165" s="272"/>
      <c r="AB165" s="193"/>
      <c r="AC165" s="193"/>
      <c r="AD165" s="193"/>
      <c r="AE165" s="193"/>
      <c r="AF165" s="193"/>
    </row>
    <row r="166" s="8" customFormat="1" ht="18.5" spans="3:37">
      <c r="C166" s="8" t="s">
        <v>171</v>
      </c>
      <c r="E166" s="206"/>
      <c r="F166" s="288">
        <f t="shared" ref="F166:K166" si="252">F65/$AO$398</f>
        <v>1.69518660891336</v>
      </c>
      <c r="G166" s="288">
        <f t="shared" si="252"/>
        <v>2.21350408224307</v>
      </c>
      <c r="H166" s="288">
        <f t="shared" si="252"/>
        <v>3.362111023718</v>
      </c>
      <c r="I166" s="288">
        <f t="shared" si="252"/>
        <v>5.9580719848453</v>
      </c>
      <c r="J166" s="288">
        <f t="shared" si="252"/>
        <v>9.34197121935548</v>
      </c>
      <c r="K166" s="288">
        <f t="shared" si="252"/>
        <v>16.3971241511482</v>
      </c>
      <c r="L166" s="275"/>
      <c r="M166" s="275"/>
      <c r="N166" s="275"/>
      <c r="O166" s="288">
        <f>O65/$AO$398</f>
        <v>17.4164641238964</v>
      </c>
      <c r="P166" s="275"/>
      <c r="Q166" s="275"/>
      <c r="R166" s="275"/>
      <c r="S166" s="288">
        <f>S65/$AO$398</f>
        <v>16.9048067442865</v>
      </c>
      <c r="T166" s="275"/>
      <c r="U166" s="17"/>
      <c r="V166" s="17"/>
      <c r="W166" s="288">
        <f>W65/$AO$398</f>
        <v>15.6219743211955</v>
      </c>
      <c r="X166" s="275"/>
      <c r="Y166" s="17"/>
      <c r="Z166" s="327"/>
      <c r="AA166" s="328">
        <f>W166*(1+AA167)</f>
        <v>14.8408756051358</v>
      </c>
      <c r="AB166" s="288">
        <f>AA166*(1+AB167)</f>
        <v>14.3956493369817</v>
      </c>
      <c r="AC166" s="288">
        <f t="shared" ref="AC166:AF166" si="253">AB166*(1+AC167)</f>
        <v>13.9637798568722</v>
      </c>
      <c r="AD166" s="288">
        <f t="shared" si="253"/>
        <v>13.5448664611661</v>
      </c>
      <c r="AE166" s="288">
        <f t="shared" si="253"/>
        <v>13.1385204673311</v>
      </c>
      <c r="AF166" s="288">
        <f t="shared" si="253"/>
        <v>12.7443648533112</v>
      </c>
      <c r="AK166" s="275"/>
    </row>
    <row r="167" s="2" customFormat="1" ht="18.5" spans="3:32">
      <c r="C167" s="2" t="s">
        <v>18</v>
      </c>
      <c r="D167" s="8"/>
      <c r="E167" s="206"/>
      <c r="F167" s="204"/>
      <c r="G167" s="202">
        <f>G166/F166-1</f>
        <v>0.305758357578086</v>
      </c>
      <c r="H167" s="202">
        <f t="shared" ref="H167:K167" si="254">H166/G166-1</f>
        <v>0.518908887807866</v>
      </c>
      <c r="I167" s="202">
        <f t="shared" si="254"/>
        <v>0.772122319225659</v>
      </c>
      <c r="J167" s="202">
        <f t="shared" si="254"/>
        <v>0.567952056154631</v>
      </c>
      <c r="K167" s="202">
        <f t="shared" si="254"/>
        <v>0.755210304777571</v>
      </c>
      <c r="M167" s="73"/>
      <c r="N167" s="73"/>
      <c r="O167" s="202">
        <f>O166/K166-1</f>
        <v>0.06216577756879</v>
      </c>
      <c r="Q167" s="73"/>
      <c r="R167" s="73"/>
      <c r="S167" s="202">
        <f>S166/O166-1</f>
        <v>-0.0293777988442445</v>
      </c>
      <c r="U167" s="73"/>
      <c r="V167" s="73"/>
      <c r="W167" s="202">
        <f>W166/S166-1</f>
        <v>-0.0758856603625212</v>
      </c>
      <c r="X167" s="257"/>
      <c r="Y167" s="16"/>
      <c r="Z167" s="16"/>
      <c r="AA167" s="272">
        <v>-0.05</v>
      </c>
      <c r="AB167" s="272">
        <v>-0.03</v>
      </c>
      <c r="AC167" s="272">
        <v>-0.03</v>
      </c>
      <c r="AD167" s="272">
        <v>-0.03</v>
      </c>
      <c r="AE167" s="272">
        <v>-0.03</v>
      </c>
      <c r="AF167" s="272">
        <v>-0.03</v>
      </c>
    </row>
    <row r="168" s="2" customFormat="1" ht="18.5" spans="3:32">
      <c r="C168" s="2" t="s">
        <v>149</v>
      </c>
      <c r="D168" s="8"/>
      <c r="E168" s="206"/>
      <c r="F168" s="204"/>
      <c r="G168" s="289">
        <f>G166-F166</f>
        <v>0.518317473329714</v>
      </c>
      <c r="H168" s="289">
        <f t="shared" ref="H168:K168" si="255">H166-G166</f>
        <v>1.14860694147493</v>
      </c>
      <c r="I168" s="289">
        <f t="shared" si="255"/>
        <v>2.5959609611273</v>
      </c>
      <c r="J168" s="289">
        <f t="shared" si="255"/>
        <v>3.38389923451019</v>
      </c>
      <c r="K168" s="289">
        <f t="shared" si="255"/>
        <v>7.05515293179275</v>
      </c>
      <c r="M168" s="73"/>
      <c r="N168" s="73"/>
      <c r="O168" s="289">
        <f>O166-K166</f>
        <v>1.01933997274812</v>
      </c>
      <c r="Q168" s="73"/>
      <c r="R168" s="73"/>
      <c r="S168" s="289">
        <f>S166-O166</f>
        <v>-0.511657379609829</v>
      </c>
      <c r="U168" s="73"/>
      <c r="V168" s="73"/>
      <c r="W168" s="289">
        <f>W166-S166</f>
        <v>-1.28283242309099</v>
      </c>
      <c r="X168" s="257"/>
      <c r="Y168" s="12"/>
      <c r="Z168" s="329"/>
      <c r="AA168" s="289">
        <f>AA166-W166</f>
        <v>-0.781098716059777</v>
      </c>
      <c r="AB168" s="289">
        <f>AB166-AA166</f>
        <v>-0.445226268154073</v>
      </c>
      <c r="AC168" s="289">
        <f t="shared" ref="AC168:AF168" si="256">AC166-AB166</f>
        <v>-0.431869480109452</v>
      </c>
      <c r="AD168" s="289">
        <f t="shared" si="256"/>
        <v>-0.418913395706168</v>
      </c>
      <c r="AE168" s="289">
        <f t="shared" si="256"/>
        <v>-0.406345993834982</v>
      </c>
      <c r="AF168" s="289">
        <f t="shared" si="256"/>
        <v>-0.394155614019933</v>
      </c>
    </row>
    <row r="169" spans="5:32">
      <c r="E169" s="188"/>
      <c r="F169" s="188"/>
      <c r="G169" s="188"/>
      <c r="H169" s="188"/>
      <c r="I169" s="188"/>
      <c r="J169" s="188"/>
      <c r="K169" s="188"/>
      <c r="O169" s="188"/>
      <c r="S169" s="188"/>
      <c r="W169" s="188"/>
      <c r="AA169" s="188"/>
      <c r="AB169" s="188"/>
      <c r="AC169" s="188"/>
      <c r="AD169" s="188"/>
      <c r="AE169" s="188"/>
      <c r="AF169" s="188"/>
    </row>
    <row r="170" ht="26" spans="2:43">
      <c r="B170" s="290"/>
      <c r="C170" s="196" t="s">
        <v>172</v>
      </c>
      <c r="D170" s="196"/>
      <c r="E170" s="196"/>
      <c r="F170" s="196"/>
      <c r="G170" s="196"/>
      <c r="H170" s="196"/>
      <c r="I170" s="309"/>
      <c r="J170" s="310"/>
      <c r="K170" s="310"/>
      <c r="L170" s="310"/>
      <c r="M170" s="310"/>
      <c r="N170" s="310"/>
      <c r="O170" s="310"/>
      <c r="P170" s="310"/>
      <c r="Q170" s="310"/>
      <c r="R170" s="310"/>
      <c r="S170" s="310"/>
      <c r="T170" s="310"/>
      <c r="U170" s="310"/>
      <c r="V170" s="310"/>
      <c r="W170" s="310"/>
      <c r="X170" s="310"/>
      <c r="Y170" s="310"/>
      <c r="Z170" s="310"/>
      <c r="AA170" s="310"/>
      <c r="AB170" s="290"/>
      <c r="AC170" s="290"/>
      <c r="AD170" s="290"/>
      <c r="AE170" s="290"/>
      <c r="AF170" s="290"/>
      <c r="AP170"/>
      <c r="AQ170"/>
    </row>
    <row r="171" ht="18.5" spans="3:32">
      <c r="C171" s="8"/>
      <c r="D171" s="8"/>
      <c r="E171" s="206"/>
      <c r="F171" s="206"/>
      <c r="G171" s="206"/>
      <c r="H171" s="206"/>
      <c r="I171" s="193"/>
      <c r="J171" s="193"/>
      <c r="K171" s="193"/>
      <c r="L171" s="2"/>
      <c r="M171" s="2"/>
      <c r="N171" s="2"/>
      <c r="O171" s="193"/>
      <c r="P171" s="2"/>
      <c r="Q171" s="2"/>
      <c r="R171" s="2"/>
      <c r="S171" s="193"/>
      <c r="T171" s="2"/>
      <c r="U171" s="2"/>
      <c r="V171" s="2"/>
      <c r="W171" s="193"/>
      <c r="X171" s="2"/>
      <c r="Y171" s="2"/>
      <c r="Z171" s="2"/>
      <c r="AA171" s="330"/>
      <c r="AB171" s="188"/>
      <c r="AC171" s="188"/>
      <c r="AD171" s="188"/>
      <c r="AE171" s="188"/>
      <c r="AF171" s="188"/>
    </row>
    <row r="172" s="151" customFormat="1" ht="18.5" spans="3:32">
      <c r="C172" s="8" t="s">
        <v>16</v>
      </c>
      <c r="D172" s="8"/>
      <c r="E172" s="291">
        <v>1522.253</v>
      </c>
      <c r="F172" s="291">
        <v>1821.652</v>
      </c>
      <c r="G172" s="291">
        <v>2378.7</v>
      </c>
      <c r="H172" s="291">
        <v>3161.4</v>
      </c>
      <c r="I172" s="291">
        <v>4717.8</v>
      </c>
      <c r="J172" s="260">
        <v>6110.8</v>
      </c>
      <c r="K172" s="260">
        <v>6167.3</v>
      </c>
      <c r="L172" s="225"/>
      <c r="M172" s="225">
        <v>3885.8</v>
      </c>
      <c r="N172" s="225">
        <f>O172-M172</f>
        <v>4677.2</v>
      </c>
      <c r="O172" s="260">
        <v>8563</v>
      </c>
      <c r="P172" s="225"/>
      <c r="Q172" s="225">
        <v>4418</v>
      </c>
      <c r="R172" s="225">
        <f>S172-Q172</f>
        <v>5707</v>
      </c>
      <c r="S172" s="260">
        <v>10125</v>
      </c>
      <c r="T172" s="225"/>
      <c r="U172" s="225">
        <v>4783.9</v>
      </c>
      <c r="V172" s="225">
        <f>W172-U172</f>
        <v>5758.1</v>
      </c>
      <c r="W172" s="260">
        <v>10542</v>
      </c>
      <c r="X172" s="225"/>
      <c r="Y172" s="225">
        <v>5032.2</v>
      </c>
      <c r="Z172" s="225">
        <f>AA172-Y172</f>
        <v>6799.84352</v>
      </c>
      <c r="AA172" s="201">
        <f t="shared" ref="AA172:AF172" si="257">AA28</f>
        <v>11832.04352</v>
      </c>
      <c r="AB172" s="201">
        <f t="shared" si="257"/>
        <v>12722.7997058</v>
      </c>
      <c r="AC172" s="201">
        <f t="shared" si="257"/>
        <v>13390.773711501</v>
      </c>
      <c r="AD172" s="201">
        <f t="shared" si="257"/>
        <v>13999.1331030721</v>
      </c>
      <c r="AE172" s="201">
        <f t="shared" si="257"/>
        <v>14529.5566808024</v>
      </c>
      <c r="AF172" s="201">
        <f t="shared" si="257"/>
        <v>14964.8920576476</v>
      </c>
    </row>
    <row r="173" ht="18.5" spans="3:32">
      <c r="C173" s="292" t="s">
        <v>18</v>
      </c>
      <c r="D173" s="292"/>
      <c r="E173" s="293" t="s">
        <v>122</v>
      </c>
      <c r="F173" s="293">
        <f>F172/E172-1</f>
        <v>0.196681497753659</v>
      </c>
      <c r="G173" s="293">
        <f t="shared" ref="G173:K173" si="258">G172/F172-1</f>
        <v>0.305792763930762</v>
      </c>
      <c r="H173" s="293">
        <f t="shared" si="258"/>
        <v>0.329045276831883</v>
      </c>
      <c r="I173" s="293">
        <f t="shared" si="258"/>
        <v>0.492313531979503</v>
      </c>
      <c r="J173" s="293">
        <f t="shared" si="258"/>
        <v>0.295264742040782</v>
      </c>
      <c r="K173" s="293">
        <f t="shared" si="258"/>
        <v>0.00924592524710355</v>
      </c>
      <c r="L173" s="311"/>
      <c r="M173" s="311"/>
      <c r="N173" s="311"/>
      <c r="O173" s="293">
        <f>O172/K172-1</f>
        <v>0.388451996821948</v>
      </c>
      <c r="P173" s="311"/>
      <c r="Q173" s="311">
        <f>Q172/M172-1</f>
        <v>0.136960214112924</v>
      </c>
      <c r="R173" s="311">
        <f>R172/N172-1</f>
        <v>0.220174463354144</v>
      </c>
      <c r="S173" s="293">
        <f>S172/O172-1</f>
        <v>0.182412705827397</v>
      </c>
      <c r="T173" s="311"/>
      <c r="U173" s="311">
        <f>U172/Q172-1</f>
        <v>0.0828202806699863</v>
      </c>
      <c r="V173" s="311">
        <f>V172/R172-1</f>
        <v>0.00895391624321018</v>
      </c>
      <c r="W173" s="293">
        <f>W172/S172-1</f>
        <v>0.0411851851851852</v>
      </c>
      <c r="X173" s="311"/>
      <c r="Y173" s="311">
        <f>Y172/U172-1</f>
        <v>0.051903258847384</v>
      </c>
      <c r="Z173" s="311">
        <f>Z172/V172-1</f>
        <v>0.180917927788681</v>
      </c>
      <c r="AA173" s="293">
        <f>AA172/W172-1</f>
        <v>0.122371800417378</v>
      </c>
      <c r="AB173" s="293">
        <f>AB172/AA172-1</f>
        <v>0.0752833763917731</v>
      </c>
      <c r="AC173" s="293">
        <f t="shared" ref="AC173:AF173" si="259">AC172/AB172-1</f>
        <v>0.0525021238365049</v>
      </c>
      <c r="AD173" s="293">
        <f t="shared" si="259"/>
        <v>0.0454312353175417</v>
      </c>
      <c r="AE173" s="293">
        <f t="shared" si="259"/>
        <v>0.0378897445881012</v>
      </c>
      <c r="AF173" s="293">
        <f t="shared" si="259"/>
        <v>0.0299620550309287</v>
      </c>
    </row>
    <row r="174" ht="18.5" spans="3:32">
      <c r="C174" s="292" t="s">
        <v>127</v>
      </c>
      <c r="D174" s="292"/>
      <c r="E174" s="294" t="s">
        <v>122</v>
      </c>
      <c r="F174" s="294" t="s">
        <v>122</v>
      </c>
      <c r="G174" s="294">
        <f>G172/E172-1</f>
        <v>0.562618040496554</v>
      </c>
      <c r="H174" s="294">
        <f t="shared" ref="H174:K174" si="260">H172/F172-1</f>
        <v>0.735457705423429</v>
      </c>
      <c r="I174" s="294">
        <f t="shared" si="260"/>
        <v>0.983352251229664</v>
      </c>
      <c r="J174" s="294">
        <f t="shared" si="260"/>
        <v>0.932941102043398</v>
      </c>
      <c r="K174" s="294">
        <f t="shared" si="260"/>
        <v>0.307240663020899</v>
      </c>
      <c r="L174" s="312"/>
      <c r="M174" s="312"/>
      <c r="N174" s="312"/>
      <c r="O174" s="294">
        <f>O172/J172-1</f>
        <v>0.401289520193755</v>
      </c>
      <c r="P174" s="312"/>
      <c r="Q174" s="312"/>
      <c r="R174" s="312"/>
      <c r="S174" s="294">
        <f>S172/K172-1</f>
        <v>0.641723282473692</v>
      </c>
      <c r="T174" s="312"/>
      <c r="U174" s="312">
        <f>U172/M172-1</f>
        <v>0.231123578156364</v>
      </c>
      <c r="V174" s="312">
        <f>V172/N172-1</f>
        <v>0.23109980330112</v>
      </c>
      <c r="W174" s="294">
        <f>W172/O172-1</f>
        <v>0.231110592082214</v>
      </c>
      <c r="X174" s="312"/>
      <c r="Y174" s="312">
        <f>Y172/Q172-1</f>
        <v>0.139022181982798</v>
      </c>
      <c r="Z174" s="312">
        <f>Z172/R172-1</f>
        <v>0.191491768004206</v>
      </c>
      <c r="AA174" s="270">
        <f>AA172/W172-1</f>
        <v>0.122371800417378</v>
      </c>
      <c r="AB174" s="270">
        <f>AB172/W172-1</f>
        <v>0.206867739119712</v>
      </c>
      <c r="AC174" s="270">
        <f>AC172/AA172-1</f>
        <v>0.131738037378429</v>
      </c>
      <c r="AD174" s="270">
        <f t="shared" ref="AD174:AF174" si="261">AD172/AB172-1</f>
        <v>0.100318595496734</v>
      </c>
      <c r="AE174" s="270">
        <f t="shared" si="261"/>
        <v>0.0850423578081465</v>
      </c>
      <c r="AF174" s="270">
        <f t="shared" si="261"/>
        <v>0.0689870542314865</v>
      </c>
    </row>
    <row r="175" ht="18.5" spans="3:32">
      <c r="C175" s="295" t="s">
        <v>149</v>
      </c>
      <c r="D175" s="295"/>
      <c r="E175" s="296"/>
      <c r="F175" s="296">
        <f t="shared" ref="F175:K175" si="262">F172-E172</f>
        <v>299.399</v>
      </c>
      <c r="G175" s="296">
        <f t="shared" si="262"/>
        <v>557.048</v>
      </c>
      <c r="H175" s="296">
        <f t="shared" si="262"/>
        <v>782.7</v>
      </c>
      <c r="I175" s="296">
        <f t="shared" si="262"/>
        <v>1556.4</v>
      </c>
      <c r="J175" s="296">
        <f t="shared" si="262"/>
        <v>1393</v>
      </c>
      <c r="K175" s="296">
        <f t="shared" si="262"/>
        <v>56.5</v>
      </c>
      <c r="L175" s="73"/>
      <c r="M175" s="73"/>
      <c r="N175" s="73"/>
      <c r="O175" s="296">
        <f>O172-K172</f>
        <v>2395.7</v>
      </c>
      <c r="P175" s="313"/>
      <c r="Q175" s="313">
        <f>Q172-M172</f>
        <v>532.2</v>
      </c>
      <c r="R175" s="313">
        <f>R172-N172</f>
        <v>1029.8</v>
      </c>
      <c r="S175" s="296">
        <f>S172-O172</f>
        <v>1562</v>
      </c>
      <c r="T175" s="73"/>
      <c r="U175" s="73">
        <f>U172-Q172</f>
        <v>365.9</v>
      </c>
      <c r="V175" s="73">
        <f>V172-R172</f>
        <v>51.1000000000004</v>
      </c>
      <c r="W175" s="223">
        <f>W172-S172</f>
        <v>417</v>
      </c>
      <c r="X175" s="73"/>
      <c r="Y175" s="73">
        <f>Y172-U172</f>
        <v>248.3</v>
      </c>
      <c r="Z175" s="73">
        <f>Z172-V172</f>
        <v>1041.74352</v>
      </c>
      <c r="AA175" s="204">
        <f>AA172-W172</f>
        <v>1290.04352</v>
      </c>
      <c r="AB175" s="204">
        <f>AB172-AA172</f>
        <v>890.756185800001</v>
      </c>
      <c r="AC175" s="204">
        <f>AC172-AB172</f>
        <v>667.97400570096</v>
      </c>
      <c r="AD175" s="204">
        <f>AD172-AC172</f>
        <v>608.359391571152</v>
      </c>
      <c r="AE175" s="204">
        <f>AE172-AD172</f>
        <v>530.423577730237</v>
      </c>
      <c r="AF175" s="204">
        <f>AF172-AE172</f>
        <v>435.335376845198</v>
      </c>
    </row>
    <row r="176" ht="18.5" spans="3:32">
      <c r="C176" s="205" t="s">
        <v>128</v>
      </c>
      <c r="D176" s="292"/>
      <c r="E176" s="296"/>
      <c r="F176" s="296"/>
      <c r="G176" s="296"/>
      <c r="H176" s="296"/>
      <c r="I176" s="296"/>
      <c r="J176" s="296"/>
      <c r="K176" s="296"/>
      <c r="L176" s="73"/>
      <c r="M176" s="73"/>
      <c r="N176" s="73"/>
      <c r="O176" s="223"/>
      <c r="P176" s="73"/>
      <c r="Q176" s="64">
        <f>Q172/N172-1</f>
        <v>-0.055417771316172</v>
      </c>
      <c r="R176" s="64">
        <f>R172/Q172-1</f>
        <v>0.291760977818017</v>
      </c>
      <c r="S176" s="223"/>
      <c r="T176" s="73"/>
      <c r="U176" s="64">
        <f>U172/R172-1</f>
        <v>-0.161748729630279</v>
      </c>
      <c r="V176" s="64">
        <f>V172/U172-1</f>
        <v>0.203641380463639</v>
      </c>
      <c r="W176" s="223"/>
      <c r="X176" s="73"/>
      <c r="Y176" s="64">
        <f>Y172/V172-1</f>
        <v>-0.126065889790035</v>
      </c>
      <c r="Z176" s="64">
        <f>Z172/Y172-1</f>
        <v>0.351266547434522</v>
      </c>
      <c r="AA176" s="193"/>
      <c r="AB176" s="188"/>
      <c r="AC176" s="188"/>
      <c r="AD176" s="188"/>
      <c r="AE176" s="188"/>
      <c r="AF176" s="188"/>
    </row>
    <row r="177" ht="18.5" spans="3:32">
      <c r="C177" s="297" t="s">
        <v>173</v>
      </c>
      <c r="D177" s="297"/>
      <c r="E177" s="296"/>
      <c r="F177" s="296"/>
      <c r="G177" s="296"/>
      <c r="H177" s="296"/>
      <c r="I177" s="296"/>
      <c r="J177" s="223"/>
      <c r="K177" s="223"/>
      <c r="L177" s="73"/>
      <c r="M177" s="73"/>
      <c r="N177" s="73"/>
      <c r="O177" s="223"/>
      <c r="P177" s="73"/>
      <c r="Q177" s="73"/>
      <c r="R177" s="73"/>
      <c r="S177" s="223"/>
      <c r="T177" s="73"/>
      <c r="U177" s="73"/>
      <c r="V177" s="73"/>
      <c r="W177" s="223"/>
      <c r="X177" s="73"/>
      <c r="Y177" s="73"/>
      <c r="Z177" s="73"/>
      <c r="AA177" s="193"/>
      <c r="AB177" s="188"/>
      <c r="AC177" s="188"/>
      <c r="AD177" s="188"/>
      <c r="AE177" s="188"/>
      <c r="AF177" s="188"/>
    </row>
    <row r="178" ht="18.5" spans="3:32">
      <c r="C178" s="295"/>
      <c r="D178" s="295"/>
      <c r="E178" s="296"/>
      <c r="F178" s="296"/>
      <c r="G178" s="296"/>
      <c r="H178" s="296"/>
      <c r="I178" s="296"/>
      <c r="J178" s="223"/>
      <c r="K178" s="223"/>
      <c r="L178" s="73"/>
      <c r="M178" s="73"/>
      <c r="N178" s="73"/>
      <c r="O178" s="223"/>
      <c r="P178" s="73"/>
      <c r="Q178" s="73"/>
      <c r="R178" s="73"/>
      <c r="S178" s="223"/>
      <c r="T178" s="73"/>
      <c r="U178" s="73"/>
      <c r="V178" s="73"/>
      <c r="W178" s="223"/>
      <c r="X178" s="73"/>
      <c r="Y178" s="73"/>
      <c r="Z178" s="73"/>
      <c r="AA178" s="193"/>
      <c r="AB178" s="188"/>
      <c r="AC178" s="188"/>
      <c r="AD178" s="188"/>
      <c r="AE178" s="188"/>
      <c r="AF178" s="188"/>
    </row>
    <row r="179" s="151" customFormat="1" ht="18.5" spans="3:32">
      <c r="C179" s="8" t="s">
        <v>174</v>
      </c>
      <c r="D179" s="8"/>
      <c r="E179" s="291">
        <v>-782.703</v>
      </c>
      <c r="F179" s="291">
        <v>-937.431</v>
      </c>
      <c r="G179" s="291">
        <v>-1215.1</v>
      </c>
      <c r="H179" s="291">
        <v>-1629.8</v>
      </c>
      <c r="I179" s="291">
        <v>-2474.5</v>
      </c>
      <c r="J179" s="260">
        <v>-3236</v>
      </c>
      <c r="K179" s="260">
        <v>-3205.7</v>
      </c>
      <c r="L179" s="225"/>
      <c r="M179" s="225">
        <v>-2000.6</v>
      </c>
      <c r="N179" s="225">
        <f>O179-M179</f>
        <v>-2354.4</v>
      </c>
      <c r="O179" s="260">
        <v>-4355</v>
      </c>
      <c r="P179" s="225"/>
      <c r="Q179" s="225">
        <v>-2277.5</v>
      </c>
      <c r="R179" s="225">
        <f>S179-Q179</f>
        <v>-2969.9</v>
      </c>
      <c r="S179" s="260">
        <v>-5247.4</v>
      </c>
      <c r="T179" s="225"/>
      <c r="U179" s="225">
        <v>-2466.5</v>
      </c>
      <c r="V179" s="225">
        <f>W179-U179</f>
        <v>-3027.5</v>
      </c>
      <c r="W179" s="260">
        <v>-5494</v>
      </c>
      <c r="X179" s="225"/>
      <c r="Y179" s="225">
        <v>-2604.2</v>
      </c>
      <c r="Z179" s="225">
        <f>AA179-Y179</f>
        <v>-3666.7830656</v>
      </c>
      <c r="AA179" s="201">
        <f t="shared" ref="AA179:AF179" si="263">-AA180*AA172</f>
        <v>-6270.9830656</v>
      </c>
      <c r="AB179" s="201">
        <f t="shared" si="263"/>
        <v>-6743.083844074</v>
      </c>
      <c r="AC179" s="201">
        <f t="shared" si="263"/>
        <v>-7097.11006709551</v>
      </c>
      <c r="AD179" s="201">
        <f t="shared" si="263"/>
        <v>-7419.54054462822</v>
      </c>
      <c r="AE179" s="201">
        <f t="shared" si="263"/>
        <v>-7700.66504082525</v>
      </c>
      <c r="AF179" s="201">
        <f t="shared" si="263"/>
        <v>-7931.3927905532</v>
      </c>
    </row>
    <row r="180" ht="18.5" spans="3:32">
      <c r="C180" s="298" t="s">
        <v>175</v>
      </c>
      <c r="D180" s="298"/>
      <c r="E180" s="299">
        <f t="shared" ref="E180:K180" si="264">-E179/E172</f>
        <v>0.514174056480756</v>
      </c>
      <c r="F180" s="299">
        <f t="shared" si="264"/>
        <v>0.514604875135317</v>
      </c>
      <c r="G180" s="299">
        <f t="shared" si="264"/>
        <v>0.510825240677681</v>
      </c>
      <c r="H180" s="299">
        <f t="shared" si="264"/>
        <v>0.515531093819194</v>
      </c>
      <c r="I180" s="299">
        <f t="shared" si="264"/>
        <v>0.524502946288524</v>
      </c>
      <c r="J180" s="299">
        <f t="shared" si="264"/>
        <v>0.529554231851803</v>
      </c>
      <c r="K180" s="299">
        <f t="shared" si="264"/>
        <v>0.519789859419843</v>
      </c>
      <c r="L180" s="314"/>
      <c r="M180" s="314">
        <f>-M179/M172</f>
        <v>0.514848937155798</v>
      </c>
      <c r="N180" s="314">
        <f>-N179/N172</f>
        <v>0.50337808945523</v>
      </c>
      <c r="O180" s="299">
        <f>-O179/O172</f>
        <v>0.508583440383043</v>
      </c>
      <c r="P180" s="314"/>
      <c r="Q180" s="314">
        <f>-Q179/Q172</f>
        <v>0.515504753282028</v>
      </c>
      <c r="R180" s="314">
        <f>-R179/R172</f>
        <v>0.520396004906255</v>
      </c>
      <c r="S180" s="299">
        <f>-S179/S172</f>
        <v>0.518261728395062</v>
      </c>
      <c r="T180" s="314"/>
      <c r="U180" s="314">
        <f>-U179/U172</f>
        <v>0.515583519722402</v>
      </c>
      <c r="V180" s="314">
        <f>-V179/V172</f>
        <v>0.525781073618034</v>
      </c>
      <c r="W180" s="299">
        <f>-W179/W172</f>
        <v>0.521153481312844</v>
      </c>
      <c r="X180" s="314"/>
      <c r="Y180" s="314">
        <f>-Y179/Y172</f>
        <v>0.51750725328882</v>
      </c>
      <c r="Z180" s="314">
        <f>-Z179/Z172</f>
        <v>0.539245212748661</v>
      </c>
      <c r="AA180" s="202">
        <v>0.53</v>
      </c>
      <c r="AB180" s="202">
        <v>0.53</v>
      </c>
      <c r="AC180" s="202">
        <v>0.53</v>
      </c>
      <c r="AD180" s="202">
        <v>0.53</v>
      </c>
      <c r="AE180" s="202">
        <v>0.53</v>
      </c>
      <c r="AF180" s="202">
        <v>0.53</v>
      </c>
    </row>
    <row r="181" ht="18.5" spans="3:32">
      <c r="C181" s="292" t="s">
        <v>18</v>
      </c>
      <c r="D181" s="292"/>
      <c r="E181" s="294" t="s">
        <v>122</v>
      </c>
      <c r="F181" s="294">
        <f t="shared" ref="F181:K181" si="265">F179/E179-1</f>
        <v>0.197684179056424</v>
      </c>
      <c r="G181" s="294">
        <f t="shared" si="265"/>
        <v>0.296202067138808</v>
      </c>
      <c r="H181" s="294">
        <f t="shared" si="265"/>
        <v>0.341288782816229</v>
      </c>
      <c r="I181" s="294">
        <f t="shared" si="265"/>
        <v>0.51828445208001</v>
      </c>
      <c r="J181" s="294">
        <f t="shared" si="265"/>
        <v>0.307738937159022</v>
      </c>
      <c r="K181" s="294">
        <f t="shared" si="265"/>
        <v>-0.00936341161928311</v>
      </c>
      <c r="L181" s="312"/>
      <c r="M181" s="312"/>
      <c r="N181" s="312"/>
      <c r="O181" s="294">
        <f>O179/K179-1</f>
        <v>0.358517640452943</v>
      </c>
      <c r="P181" s="312"/>
      <c r="Q181" s="312">
        <f>Q179/M179-1</f>
        <v>0.138408477456763</v>
      </c>
      <c r="R181" s="312">
        <f>R179/N179-1</f>
        <v>0.26142541624193</v>
      </c>
      <c r="S181" s="294">
        <f>S179/O179-1</f>
        <v>0.204913892078071</v>
      </c>
      <c r="T181" s="312"/>
      <c r="U181" s="312">
        <f>U179/Q179-1</f>
        <v>0.0829857299670691</v>
      </c>
      <c r="V181" s="312">
        <f>V179/R179-1</f>
        <v>0.019394592410519</v>
      </c>
      <c r="W181" s="294">
        <f>W179/S179-1</f>
        <v>0.0469947021382018</v>
      </c>
      <c r="X181" s="312"/>
      <c r="Y181" s="312">
        <f>Y179/U179-1</f>
        <v>0.0558280964930062</v>
      </c>
      <c r="Z181" s="312">
        <f>Z179/V179-1</f>
        <v>0.211158733476466</v>
      </c>
      <c r="AA181" s="202">
        <f>AA179/W179-1</f>
        <v>0.141423928940663</v>
      </c>
      <c r="AB181" s="202">
        <f>AB179/AA179-1</f>
        <v>0.0752833763917731</v>
      </c>
      <c r="AC181" s="202">
        <f t="shared" ref="AC181:AF181" si="266">AC179/AB179-1</f>
        <v>0.0525021238365049</v>
      </c>
      <c r="AD181" s="202">
        <f t="shared" si="266"/>
        <v>0.0454312353175419</v>
      </c>
      <c r="AE181" s="202">
        <f t="shared" si="266"/>
        <v>0.0378897445881012</v>
      </c>
      <c r="AF181" s="202">
        <f t="shared" si="266"/>
        <v>0.0299620550309287</v>
      </c>
    </row>
    <row r="182" ht="18.5" spans="3:32">
      <c r="C182" s="292" t="s">
        <v>126</v>
      </c>
      <c r="D182" s="292"/>
      <c r="E182" s="296" t="s">
        <v>122</v>
      </c>
      <c r="F182" s="296"/>
      <c r="G182" s="296">
        <f>(G181-F181)*10000</f>
        <v>985.17888082384</v>
      </c>
      <c r="H182" s="296">
        <f t="shared" ref="H182:K182" si="267">(H181-G181)*10000</f>
        <v>450.867156774213</v>
      </c>
      <c r="I182" s="296">
        <f t="shared" si="267"/>
        <v>1769.95669263781</v>
      </c>
      <c r="J182" s="296">
        <f t="shared" si="267"/>
        <v>-2105.45514920988</v>
      </c>
      <c r="K182" s="296">
        <f t="shared" si="267"/>
        <v>-3171.02348778305</v>
      </c>
      <c r="L182" s="313"/>
      <c r="M182" s="313"/>
      <c r="N182" s="313"/>
      <c r="O182" s="296">
        <f>(O181-K181)*10000</f>
        <v>3678.81052072226</v>
      </c>
      <c r="P182" s="313"/>
      <c r="Q182" s="313"/>
      <c r="R182" s="313"/>
      <c r="S182" s="296">
        <f t="shared" ref="S182" si="268">(S181-O181)*10000</f>
        <v>-1536.03748374872</v>
      </c>
      <c r="T182" s="313"/>
      <c r="U182" s="313">
        <f>(U180-Q180)*10000</f>
        <v>0.787664403741895</v>
      </c>
      <c r="V182" s="313">
        <f>(V180-R180)*10000</f>
        <v>53.8506871177835</v>
      </c>
      <c r="W182" s="296">
        <f>(W181-S181)*10000</f>
        <v>-1579.19189939869</v>
      </c>
      <c r="X182" s="313"/>
      <c r="Y182" s="313">
        <f>(Y180-U180)*10000</f>
        <v>19.2373356641773</v>
      </c>
      <c r="Z182" s="313">
        <f>(Z180-V180)*10000</f>
        <v>134.641391306268</v>
      </c>
      <c r="AA182" s="296">
        <f>(AA181-W181)*10000</f>
        <v>944.292268024611</v>
      </c>
      <c r="AB182" s="204">
        <f>(AB181-AA181)*10000</f>
        <v>-661.405525488898</v>
      </c>
      <c r="AC182" s="204">
        <f t="shared" ref="AC182:AF182" si="269">(AC181-AB181)*10000</f>
        <v>-227.812525552682</v>
      </c>
      <c r="AD182" s="204">
        <f t="shared" si="269"/>
        <v>-70.7088851896298</v>
      </c>
      <c r="AE182" s="204">
        <f t="shared" si="269"/>
        <v>-75.4149072944066</v>
      </c>
      <c r="AF182" s="204">
        <f t="shared" si="269"/>
        <v>-79.2768955717249</v>
      </c>
    </row>
    <row r="183" spans="5:32">
      <c r="E183" s="188"/>
      <c r="F183" s="188"/>
      <c r="G183" s="188"/>
      <c r="H183" s="188"/>
      <c r="I183" s="188"/>
      <c r="J183" s="188"/>
      <c r="K183" s="188"/>
      <c r="O183" s="188"/>
      <c r="S183" s="188"/>
      <c r="W183" s="188"/>
      <c r="AA183" s="188"/>
      <c r="AB183" s="188"/>
      <c r="AC183" s="188"/>
      <c r="AD183" s="188"/>
      <c r="AE183" s="188"/>
      <c r="AF183" s="188"/>
    </row>
    <row r="184" ht="18.5" spans="3:32">
      <c r="C184" s="2"/>
      <c r="D184" s="2"/>
      <c r="E184" s="296"/>
      <c r="F184" s="296"/>
      <c r="G184" s="296"/>
      <c r="H184" s="296"/>
      <c r="I184" s="296"/>
      <c r="J184" s="223"/>
      <c r="K184" s="223"/>
      <c r="L184" s="73"/>
      <c r="M184" s="73"/>
      <c r="N184" s="73"/>
      <c r="O184" s="223"/>
      <c r="P184" s="73"/>
      <c r="Q184" s="73"/>
      <c r="R184" s="73"/>
      <c r="S184" s="223"/>
      <c r="T184" s="73"/>
      <c r="U184" s="73"/>
      <c r="V184" s="73"/>
      <c r="W184" s="223"/>
      <c r="X184" s="73"/>
      <c r="Y184" s="73"/>
      <c r="Z184" s="73"/>
      <c r="AA184" s="193"/>
      <c r="AB184" s="188"/>
      <c r="AC184" s="188"/>
      <c r="AD184" s="188"/>
      <c r="AE184" s="188"/>
      <c r="AF184" s="188"/>
    </row>
    <row r="185" s="151" customFormat="1" ht="18.5" spans="3:32">
      <c r="C185" s="8" t="s">
        <v>176</v>
      </c>
      <c r="D185" s="8"/>
      <c r="E185" s="300">
        <f t="shared" ref="E185:K185" si="270">E172+E179</f>
        <v>739.55</v>
      </c>
      <c r="F185" s="300">
        <f t="shared" si="270"/>
        <v>884.221</v>
      </c>
      <c r="G185" s="300">
        <f t="shared" si="270"/>
        <v>1163.6</v>
      </c>
      <c r="H185" s="300">
        <f t="shared" si="270"/>
        <v>1531.6</v>
      </c>
      <c r="I185" s="300">
        <f t="shared" si="270"/>
        <v>2243.3</v>
      </c>
      <c r="J185" s="300">
        <f t="shared" si="270"/>
        <v>2874.8</v>
      </c>
      <c r="K185" s="300">
        <f t="shared" si="270"/>
        <v>2961.6</v>
      </c>
      <c r="L185" s="225"/>
      <c r="M185" s="225">
        <f>M172+M179</f>
        <v>1885.2</v>
      </c>
      <c r="N185" s="225">
        <f>O185-M185</f>
        <v>2322.8</v>
      </c>
      <c r="O185" s="260">
        <f>O172+O179</f>
        <v>4208</v>
      </c>
      <c r="P185" s="225"/>
      <c r="Q185" s="225">
        <f>Q172+Q179</f>
        <v>2140.5</v>
      </c>
      <c r="R185" s="225">
        <f>S185-Q185</f>
        <v>2737.1</v>
      </c>
      <c r="S185" s="260">
        <f>S172+S179</f>
        <v>4877.6</v>
      </c>
      <c r="T185" s="225"/>
      <c r="U185" s="317">
        <f>U172+U179</f>
        <v>2317.4</v>
      </c>
      <c r="V185" s="225">
        <f>W185-U185</f>
        <v>2730.6</v>
      </c>
      <c r="W185" s="269">
        <f>W172+W179</f>
        <v>5048</v>
      </c>
      <c r="X185" s="317"/>
      <c r="Y185" s="317">
        <f>Y172+Y179</f>
        <v>2428</v>
      </c>
      <c r="Z185" s="225">
        <f>AA185-Y185</f>
        <v>3133.0604544</v>
      </c>
      <c r="AA185" s="269">
        <f t="shared" ref="AA185:AF185" si="271">AA172+AA179</f>
        <v>5561.0604544</v>
      </c>
      <c r="AB185" s="269">
        <f t="shared" si="271"/>
        <v>5979.715861726</v>
      </c>
      <c r="AC185" s="269">
        <f t="shared" si="271"/>
        <v>6293.66364440545</v>
      </c>
      <c r="AD185" s="269">
        <f t="shared" si="271"/>
        <v>6579.59255844389</v>
      </c>
      <c r="AE185" s="269">
        <f t="shared" si="271"/>
        <v>6828.89163997711</v>
      </c>
      <c r="AF185" s="269">
        <f t="shared" si="271"/>
        <v>7033.49926709435</v>
      </c>
    </row>
    <row r="186" ht="18.5" spans="3:32">
      <c r="C186" s="292" t="s">
        <v>40</v>
      </c>
      <c r="D186" s="292"/>
      <c r="E186" s="293">
        <f t="shared" ref="E186:K186" si="272">E185/E172</f>
        <v>0.485825943519244</v>
      </c>
      <c r="F186" s="293">
        <f t="shared" si="272"/>
        <v>0.485395124864683</v>
      </c>
      <c r="G186" s="293">
        <f t="shared" si="272"/>
        <v>0.489174759322319</v>
      </c>
      <c r="H186" s="293">
        <f t="shared" si="272"/>
        <v>0.484468906180806</v>
      </c>
      <c r="I186" s="293">
        <f t="shared" si="272"/>
        <v>0.475497053711476</v>
      </c>
      <c r="J186" s="293">
        <f t="shared" si="272"/>
        <v>0.470445768148197</v>
      </c>
      <c r="K186" s="293">
        <f t="shared" si="272"/>
        <v>0.480210140580157</v>
      </c>
      <c r="L186" s="311"/>
      <c r="M186" s="311">
        <f>M185/M172</f>
        <v>0.485151062844202</v>
      </c>
      <c r="N186" s="311">
        <f>N185/N172</f>
        <v>0.49662191054477</v>
      </c>
      <c r="O186" s="293">
        <f>O185/O172</f>
        <v>0.491416559616957</v>
      </c>
      <c r="P186" s="311"/>
      <c r="Q186" s="311">
        <f>Q185/Q172</f>
        <v>0.484495246717972</v>
      </c>
      <c r="R186" s="311">
        <f>R185/R172</f>
        <v>0.479603995093745</v>
      </c>
      <c r="S186" s="293">
        <f>S185/S172</f>
        <v>0.481738271604938</v>
      </c>
      <c r="T186" s="311"/>
      <c r="U186" s="311">
        <f>U185/U172</f>
        <v>0.484416480277598</v>
      </c>
      <c r="V186" s="311">
        <f>V185/V172</f>
        <v>0.474218926381966</v>
      </c>
      <c r="W186" s="293">
        <f>W185/W172</f>
        <v>0.478846518687156</v>
      </c>
      <c r="X186" s="311"/>
      <c r="Y186" s="311">
        <f>Y185/Y172</f>
        <v>0.48249274671118</v>
      </c>
      <c r="Z186" s="311">
        <f>Z185/Z172</f>
        <v>0.460754787251339</v>
      </c>
      <c r="AA186" s="293">
        <f>AA185/AA172</f>
        <v>0.47</v>
      </c>
      <c r="AB186" s="293">
        <f t="shared" ref="AB186:AF186" si="273">AB185/AB172</f>
        <v>0.47</v>
      </c>
      <c r="AC186" s="293">
        <f t="shared" si="273"/>
        <v>0.47</v>
      </c>
      <c r="AD186" s="293">
        <f t="shared" si="273"/>
        <v>0.47</v>
      </c>
      <c r="AE186" s="293">
        <f t="shared" si="273"/>
        <v>0.47</v>
      </c>
      <c r="AF186" s="293">
        <f t="shared" si="273"/>
        <v>0.47</v>
      </c>
    </row>
    <row r="187" ht="18.5" spans="3:32">
      <c r="C187" s="292" t="s">
        <v>18</v>
      </c>
      <c r="D187" s="292"/>
      <c r="E187" s="270" t="s">
        <v>122</v>
      </c>
      <c r="F187" s="294">
        <f t="shared" ref="F187:K187" si="274">F185/E185-1</f>
        <v>0.195620309647759</v>
      </c>
      <c r="G187" s="294">
        <f t="shared" si="274"/>
        <v>0.315960602609529</v>
      </c>
      <c r="H187" s="294">
        <f t="shared" si="274"/>
        <v>0.316259883121348</v>
      </c>
      <c r="I187" s="294">
        <f t="shared" si="274"/>
        <v>0.464677461478193</v>
      </c>
      <c r="J187" s="294">
        <f t="shared" si="274"/>
        <v>0.281504925778986</v>
      </c>
      <c r="K187" s="294">
        <f t="shared" si="274"/>
        <v>0.0301934047585919</v>
      </c>
      <c r="L187" s="315"/>
      <c r="M187" s="315"/>
      <c r="N187" s="315"/>
      <c r="O187" s="270">
        <f>O185/K185-1</f>
        <v>0.42085359265262</v>
      </c>
      <c r="P187" s="315"/>
      <c r="Q187" s="312">
        <f>Q185/M185-1</f>
        <v>0.13542329726289</v>
      </c>
      <c r="R187" s="312">
        <f>R185/N185-1</f>
        <v>0.178362321336319</v>
      </c>
      <c r="S187" s="270">
        <f>S185/O185-1</f>
        <v>0.159125475285171</v>
      </c>
      <c r="T187" s="315"/>
      <c r="U187" s="312">
        <f>U185/Q185-1</f>
        <v>0.0826442419995326</v>
      </c>
      <c r="V187" s="312">
        <f>V185/R185-1</f>
        <v>-0.00237477622300974</v>
      </c>
      <c r="W187" s="270">
        <f>W185/S185-1</f>
        <v>0.0349352140396915</v>
      </c>
      <c r="X187" s="315"/>
      <c r="Y187" s="312">
        <f>Y185/U185-1</f>
        <v>0.0477258997151981</v>
      </c>
      <c r="Z187" s="312">
        <f>Z185/V185-1</f>
        <v>0.147389018677214</v>
      </c>
      <c r="AA187" s="270">
        <f>AA185/W185-1</f>
        <v>0.101636381616482</v>
      </c>
      <c r="AB187" s="202">
        <f>AB185/AA185-1</f>
        <v>0.0752833763917731</v>
      </c>
      <c r="AC187" s="202">
        <f t="shared" ref="AC187:AF187" si="275">AC185/AB185-1</f>
        <v>0.0525021238365051</v>
      </c>
      <c r="AD187" s="202">
        <f t="shared" si="275"/>
        <v>0.0454312353175417</v>
      </c>
      <c r="AE187" s="202">
        <f t="shared" si="275"/>
        <v>0.0378897445881012</v>
      </c>
      <c r="AF187" s="202">
        <f t="shared" si="275"/>
        <v>0.0299620550309287</v>
      </c>
    </row>
    <row r="188" ht="18.5" spans="3:32">
      <c r="C188" s="292" t="s">
        <v>126</v>
      </c>
      <c r="D188" s="292"/>
      <c r="E188" s="268" t="s">
        <v>122</v>
      </c>
      <c r="F188" s="296">
        <f>(F186-E186)*10000</f>
        <v>-4.30818654560905</v>
      </c>
      <c r="G188" s="296">
        <f t="shared" ref="G188:K188" si="276">(G186-F186)*10000</f>
        <v>37.7963445763563</v>
      </c>
      <c r="H188" s="296">
        <f t="shared" si="276"/>
        <v>-47.0585314151289</v>
      </c>
      <c r="I188" s="296">
        <f t="shared" si="276"/>
        <v>-89.718524693303</v>
      </c>
      <c r="J188" s="296">
        <f t="shared" si="276"/>
        <v>-50.5128556327905</v>
      </c>
      <c r="K188" s="296">
        <f t="shared" si="276"/>
        <v>97.6437243195999</v>
      </c>
      <c r="L188" s="316"/>
      <c r="M188" s="316"/>
      <c r="N188" s="316"/>
      <c r="O188" s="268">
        <f>(O186-K186)*10000</f>
        <v>112.064190368</v>
      </c>
      <c r="P188" s="316"/>
      <c r="Q188" s="313"/>
      <c r="R188" s="313"/>
      <c r="S188" s="268">
        <f>(S186-O186)*10000</f>
        <v>-96.7828801201837</v>
      </c>
      <c r="T188" s="316"/>
      <c r="U188" s="313">
        <f>(U187-Q187)*10000</f>
        <v>-527.790552633571</v>
      </c>
      <c r="V188" s="313">
        <f>(V187-R187)*10000</f>
        <v>-1807.37097559328</v>
      </c>
      <c r="W188" s="268">
        <f>(W186-S186)*10000</f>
        <v>-28.9175291778215</v>
      </c>
      <c r="X188" s="316"/>
      <c r="Y188" s="313">
        <f>(Y186-U186)*10000</f>
        <v>-19.2373356641773</v>
      </c>
      <c r="Z188" s="313">
        <f>(Z187-V187)*10000</f>
        <v>1497.63794900224</v>
      </c>
      <c r="AA188" s="268">
        <f>(AA186-W186)*10000</f>
        <v>-88.4651868715625</v>
      </c>
      <c r="AB188" s="204">
        <f>(AB187-AA187)*10000</f>
        <v>-263.530052247087</v>
      </c>
      <c r="AC188" s="204">
        <f t="shared" ref="AC188:AF188" si="277">(AC187-AB187)*10000</f>
        <v>-227.81252555268</v>
      </c>
      <c r="AD188" s="204">
        <f t="shared" si="277"/>
        <v>-70.7088851896343</v>
      </c>
      <c r="AE188" s="204">
        <f t="shared" si="277"/>
        <v>-75.4149072944044</v>
      </c>
      <c r="AF188" s="204">
        <f t="shared" si="277"/>
        <v>-79.2768955717249</v>
      </c>
    </row>
    <row r="189" spans="5:32">
      <c r="E189" s="188"/>
      <c r="F189" s="188"/>
      <c r="G189" s="188"/>
      <c r="H189" s="188"/>
      <c r="I189" s="188"/>
      <c r="J189" s="188"/>
      <c r="K189" s="188"/>
      <c r="O189" s="188"/>
      <c r="S189" s="188"/>
      <c r="W189" s="188"/>
      <c r="AA189" s="188"/>
      <c r="AB189" s="188"/>
      <c r="AC189" s="188"/>
      <c r="AD189" s="188"/>
      <c r="AE189" s="188"/>
      <c r="AF189" s="188"/>
    </row>
    <row r="190" s="151" customFormat="1" ht="18.5" spans="3:32">
      <c r="C190" s="301" t="s">
        <v>177</v>
      </c>
      <c r="D190" s="301"/>
      <c r="E190" s="302" t="s">
        <v>122</v>
      </c>
      <c r="F190" s="302">
        <f t="shared" ref="F190:K190" si="278">+(F185-E185)/(F172-E172)</f>
        <v>0.483204686722401</v>
      </c>
      <c r="G190" s="302">
        <f t="shared" si="278"/>
        <v>0.501534876707214</v>
      </c>
      <c r="H190" s="302">
        <f t="shared" si="278"/>
        <v>0.470167369362463</v>
      </c>
      <c r="I190" s="302">
        <f t="shared" si="278"/>
        <v>0.457273194551529</v>
      </c>
      <c r="J190" s="302">
        <f t="shared" si="278"/>
        <v>0.453338119167265</v>
      </c>
      <c r="K190" s="302">
        <f t="shared" si="278"/>
        <v>1.53628318584071</v>
      </c>
      <c r="L190" s="125"/>
      <c r="M190" s="125"/>
      <c r="N190" s="125"/>
      <c r="O190" s="302">
        <f>+(O185-K185)/(O172-K172)</f>
        <v>0.520265475643862</v>
      </c>
      <c r="P190" s="125"/>
      <c r="Q190" s="125">
        <f>(Q185-M185)/(Q172-M172)</f>
        <v>0.479706877113867</v>
      </c>
      <c r="R190" s="125">
        <f>(R185-N185)/(R172-N172)</f>
        <v>0.402311128374442</v>
      </c>
      <c r="S190" s="302">
        <f>+(S185-O185)/(S172-O172)</f>
        <v>0.428681177976953</v>
      </c>
      <c r="T190" s="125"/>
      <c r="U190" s="125">
        <f>(U185-Q185)/(U172-Q172)</f>
        <v>0.483465427712489</v>
      </c>
      <c r="V190" s="125">
        <f>(V185-R185)/(V172-R172)</f>
        <v>-0.127201565557729</v>
      </c>
      <c r="W190" s="302">
        <f>(W185-S185)/(W172-S172)</f>
        <v>0.408633093525179</v>
      </c>
      <c r="X190" s="125"/>
      <c r="Y190" s="125">
        <f>(Y185-U185)/(Y172-U172)</f>
        <v>0.445428916633106</v>
      </c>
      <c r="Z190" s="125">
        <f>(Z185-V185)/(Z172-V172)</f>
        <v>0.386333532845013</v>
      </c>
      <c r="AA190" s="302">
        <f>(AA185-W185)/(AA172-W172)</f>
        <v>0.39770786523543</v>
      </c>
      <c r="AB190" s="302">
        <f>(AB185-AA185)/(AB172-AA172)</f>
        <v>0.47</v>
      </c>
      <c r="AC190" s="302">
        <f t="shared" ref="AC190:AF190" si="279">(AC185-AB185)/(AC172-AB172)</f>
        <v>0.470000000000001</v>
      </c>
      <c r="AD190" s="302">
        <f t="shared" si="279"/>
        <v>0.469999999999999</v>
      </c>
      <c r="AE190" s="302">
        <f t="shared" si="279"/>
        <v>0.47</v>
      </c>
      <c r="AF190" s="302">
        <f t="shared" si="279"/>
        <v>0.470000000000001</v>
      </c>
    </row>
    <row r="191" ht="18.5" spans="3:32">
      <c r="C191" s="297" t="s">
        <v>173</v>
      </c>
      <c r="D191" s="297"/>
      <c r="E191" s="303"/>
      <c r="F191" s="303"/>
      <c r="G191" s="303"/>
      <c r="H191" s="303"/>
      <c r="I191" s="223"/>
      <c r="J191" s="260"/>
      <c r="K191" s="260"/>
      <c r="L191" s="225"/>
      <c r="M191" s="225"/>
      <c r="N191" s="225"/>
      <c r="O191" s="260"/>
      <c r="P191" s="225"/>
      <c r="Q191" s="225"/>
      <c r="R191" s="225"/>
      <c r="S191" s="260"/>
      <c r="T191" s="225"/>
      <c r="U191" s="225"/>
      <c r="V191" s="225"/>
      <c r="W191" s="269"/>
      <c r="X191" s="317"/>
      <c r="Y191" s="317"/>
      <c r="Z191" s="317"/>
      <c r="AA191" s="193"/>
      <c r="AB191" s="188"/>
      <c r="AC191" s="188"/>
      <c r="AD191" s="188"/>
      <c r="AE191" s="188"/>
      <c r="AF191" s="188"/>
    </row>
    <row r="192" ht="18.6" customHeight="1" spans="5:32">
      <c r="E192" s="188"/>
      <c r="F192" s="188"/>
      <c r="G192" s="188"/>
      <c r="H192" s="188"/>
      <c r="I192" s="188"/>
      <c r="J192" s="188"/>
      <c r="K192" s="188"/>
      <c r="O192" s="188"/>
      <c r="S192" s="188"/>
      <c r="W192" s="188"/>
      <c r="AA192" s="193"/>
      <c r="AB192" s="188"/>
      <c r="AC192" s="188"/>
      <c r="AD192" s="188"/>
      <c r="AE192" s="188"/>
      <c r="AF192" s="188"/>
    </row>
    <row r="193" s="151" customFormat="1" ht="18.5" spans="3:32">
      <c r="C193" s="8" t="s">
        <v>178</v>
      </c>
      <c r="D193" s="8"/>
      <c r="E193" s="291">
        <f>E196+E200</f>
        <v>-647.829</v>
      </c>
      <c r="F193" s="291">
        <f t="shared" ref="F193:K193" si="280">F196+F200</f>
        <v>-752.057</v>
      </c>
      <c r="G193" s="291">
        <f t="shared" si="280"/>
        <v>-925.6</v>
      </c>
      <c r="H193" s="291">
        <f t="shared" si="280"/>
        <v>-1238.1</v>
      </c>
      <c r="I193" s="291">
        <f t="shared" si="280"/>
        <v>-1901.8</v>
      </c>
      <c r="J193" s="291">
        <f t="shared" si="280"/>
        <v>-2459.1</v>
      </c>
      <c r="K193" s="291">
        <f t="shared" si="280"/>
        <v>-2604.9</v>
      </c>
      <c r="L193" s="225"/>
      <c r="M193" s="162">
        <f t="shared" ref="M193" si="281">M196+M200</f>
        <v>-1501.7</v>
      </c>
      <c r="N193" s="225">
        <f>O193-M193</f>
        <v>-2012.3</v>
      </c>
      <c r="O193" s="291">
        <f t="shared" ref="O193" si="282">O196+O200</f>
        <v>-3514</v>
      </c>
      <c r="P193" s="225"/>
      <c r="Q193" s="162">
        <f t="shared" ref="Q193" si="283">Q196+Q200</f>
        <v>-1823.5</v>
      </c>
      <c r="R193" s="225">
        <f>S193-Q193</f>
        <v>-2281.6</v>
      </c>
      <c r="S193" s="291">
        <f t="shared" ref="S193" si="284">S196+S200</f>
        <v>-4105.1</v>
      </c>
      <c r="T193" s="225"/>
      <c r="U193" s="162">
        <f t="shared" ref="U193:Y193" si="285">U196+U200</f>
        <v>-1958.8</v>
      </c>
      <c r="V193" s="225">
        <f>W193-U193</f>
        <v>-2200.1</v>
      </c>
      <c r="W193" s="291">
        <f t="shared" si="285"/>
        <v>-4158.9</v>
      </c>
      <c r="X193" s="225"/>
      <c r="Y193" s="162">
        <f t="shared" si="285"/>
        <v>-2151.4</v>
      </c>
      <c r="Z193" s="225">
        <f>AA193-Y193</f>
        <v>-2640.5776256</v>
      </c>
      <c r="AA193" s="201">
        <f>-AA202*AA172</f>
        <v>-4791.9776256</v>
      </c>
      <c r="AB193" s="201">
        <f t="shared" ref="AB193:AF193" si="286">-AB202*AB172</f>
        <v>-5152.733880849</v>
      </c>
      <c r="AC193" s="201">
        <f t="shared" si="286"/>
        <v>-5423.26335315789</v>
      </c>
      <c r="AD193" s="201">
        <f t="shared" si="286"/>
        <v>-5669.64890674421</v>
      </c>
      <c r="AE193" s="201">
        <f t="shared" si="286"/>
        <v>-5884.47045572495</v>
      </c>
      <c r="AF193" s="201">
        <f t="shared" si="286"/>
        <v>-6060.78128334726</v>
      </c>
    </row>
    <row r="194" s="151" customFormat="1" ht="18.5" hidden="1" spans="3:32">
      <c r="C194" s="2" t="s">
        <v>179</v>
      </c>
      <c r="D194" s="8"/>
      <c r="E194" s="296">
        <v>-564.333</v>
      </c>
      <c r="F194" s="296">
        <v>-648.333</v>
      </c>
      <c r="G194" s="296">
        <v>-813</v>
      </c>
      <c r="H194" s="296">
        <v>-1080.5</v>
      </c>
      <c r="I194" s="296">
        <v>-1632.9</v>
      </c>
      <c r="J194" s="223">
        <v>-2020.2</v>
      </c>
      <c r="K194" s="260">
        <v>-2126.4</v>
      </c>
      <c r="L194" s="225"/>
      <c r="M194" s="225"/>
      <c r="N194" s="225">
        <f t="shared" ref="N194:N196" si="287">O194-M194</f>
        <v>-2808.1</v>
      </c>
      <c r="O194" s="260">
        <v>-2808.1</v>
      </c>
      <c r="P194" s="225"/>
      <c r="Q194" s="225"/>
      <c r="R194" s="225"/>
      <c r="S194" s="260">
        <v>-3353.5</v>
      </c>
      <c r="T194" s="225"/>
      <c r="U194" s="225"/>
      <c r="V194" s="225"/>
      <c r="W194" s="260"/>
      <c r="X194" s="225"/>
      <c r="Y194" s="8"/>
      <c r="Z194" s="8"/>
      <c r="AA194" s="206"/>
      <c r="AB194" s="206"/>
      <c r="AC194" s="206"/>
      <c r="AD194" s="206"/>
      <c r="AE194" s="206"/>
      <c r="AF194" s="206"/>
    </row>
    <row r="195" s="151" customFormat="1" ht="18.5" hidden="1" spans="3:32">
      <c r="C195" s="333" t="s">
        <v>180</v>
      </c>
      <c r="D195" s="8"/>
      <c r="E195" s="296">
        <v>-4.467</v>
      </c>
      <c r="F195" s="296">
        <v>0</v>
      </c>
      <c r="G195" s="296">
        <v>0</v>
      </c>
      <c r="H195" s="296">
        <v>0</v>
      </c>
      <c r="I195" s="296">
        <v>0</v>
      </c>
      <c r="J195" s="296">
        <v>0</v>
      </c>
      <c r="K195" s="296">
        <v>0</v>
      </c>
      <c r="L195" s="225"/>
      <c r="M195" s="225"/>
      <c r="N195" s="225">
        <f t="shared" si="287"/>
        <v>0</v>
      </c>
      <c r="O195" s="260">
        <v>0</v>
      </c>
      <c r="P195" s="225"/>
      <c r="Q195" s="225"/>
      <c r="R195" s="225"/>
      <c r="S195" s="260"/>
      <c r="T195" s="225"/>
      <c r="U195" s="225"/>
      <c r="V195" s="225"/>
      <c r="W195" s="260"/>
      <c r="X195" s="225"/>
      <c r="Y195" s="8"/>
      <c r="Z195" s="8"/>
      <c r="AA195" s="206"/>
      <c r="AB195" s="206"/>
      <c r="AC195" s="206"/>
      <c r="AD195" s="206"/>
      <c r="AE195" s="206"/>
      <c r="AF195" s="206"/>
    </row>
    <row r="196" s="151" customFormat="1" ht="18.5" spans="3:32">
      <c r="C196" s="333" t="s">
        <v>181</v>
      </c>
      <c r="D196" s="8"/>
      <c r="E196" s="296">
        <f>E194+E195</f>
        <v>-568.8</v>
      </c>
      <c r="F196" s="296">
        <f t="shared" ref="F196:K196" si="288">F194+F195</f>
        <v>-648.333</v>
      </c>
      <c r="G196" s="296">
        <f t="shared" si="288"/>
        <v>-813</v>
      </c>
      <c r="H196" s="296">
        <f t="shared" si="288"/>
        <v>-1080.5</v>
      </c>
      <c r="I196" s="296">
        <f t="shared" si="288"/>
        <v>-1632.9</v>
      </c>
      <c r="J196" s="296">
        <f t="shared" si="288"/>
        <v>-2020.2</v>
      </c>
      <c r="K196" s="296">
        <f t="shared" si="288"/>
        <v>-2126.4</v>
      </c>
      <c r="L196" s="225"/>
      <c r="M196" s="73">
        <v>-1206.7</v>
      </c>
      <c r="N196" s="73">
        <f t="shared" si="287"/>
        <v>-1601.4</v>
      </c>
      <c r="O196" s="296">
        <f t="shared" ref="O196" si="289">O194+O195</f>
        <v>-2808.1</v>
      </c>
      <c r="P196" s="225"/>
      <c r="Q196" s="73">
        <v>-1496.5</v>
      </c>
      <c r="R196" s="73">
        <f t="shared" ref="R196" si="290">S196-Q196</f>
        <v>-1857</v>
      </c>
      <c r="S196" s="223">
        <v>-3353.5</v>
      </c>
      <c r="T196" s="225"/>
      <c r="U196" s="73">
        <v>-1685</v>
      </c>
      <c r="V196" s="73">
        <f t="shared" ref="V196" si="291">W196-U196</f>
        <v>-1937.7</v>
      </c>
      <c r="W196" s="223">
        <v>-3622.7</v>
      </c>
      <c r="X196" s="225"/>
      <c r="Y196" s="110">
        <v>-1769.1</v>
      </c>
      <c r="Z196" s="73">
        <f t="shared" ref="Z196" si="292">AA196-Y196</f>
        <v>-2304.08098176</v>
      </c>
      <c r="AA196" s="204">
        <f>AA193*AA199</f>
        <v>-4073.18098176</v>
      </c>
      <c r="AB196" s="204">
        <f t="shared" ref="AB196:AF196" si="293">AB193*AB199</f>
        <v>-4379.82379872165</v>
      </c>
      <c r="AC196" s="204">
        <f t="shared" si="293"/>
        <v>-4609.77385018421</v>
      </c>
      <c r="AD196" s="204">
        <f t="shared" si="293"/>
        <v>-4819.20157073258</v>
      </c>
      <c r="AE196" s="204">
        <f t="shared" si="293"/>
        <v>-5001.79988736621</v>
      </c>
      <c r="AF196" s="204">
        <f t="shared" si="293"/>
        <v>-5151.66409084517</v>
      </c>
    </row>
    <row r="197" s="151" customFormat="1" ht="18.5" hidden="1" spans="3:32">
      <c r="C197" s="2" t="s">
        <v>182</v>
      </c>
      <c r="D197" s="8"/>
      <c r="E197" s="296">
        <v>-73.969</v>
      </c>
      <c r="F197" s="296">
        <v>-78.228</v>
      </c>
      <c r="G197" s="296">
        <v>-106.2</v>
      </c>
      <c r="H197" s="296">
        <v>-144.7</v>
      </c>
      <c r="I197" s="296">
        <v>-253.6</v>
      </c>
      <c r="J197" s="223">
        <v>-348.6</v>
      </c>
      <c r="K197" s="260">
        <v>-381.2</v>
      </c>
      <c r="L197" s="225"/>
      <c r="M197" s="225"/>
      <c r="N197" s="225"/>
      <c r="O197" s="260">
        <v>-413.4</v>
      </c>
      <c r="P197" s="225"/>
      <c r="Q197" s="73"/>
      <c r="R197" s="73"/>
      <c r="S197" s="223"/>
      <c r="T197" s="225"/>
      <c r="U197" s="73"/>
      <c r="V197" s="73"/>
      <c r="W197" s="223"/>
      <c r="X197" s="225"/>
      <c r="Y197" s="110"/>
      <c r="Z197" s="110"/>
      <c r="AA197" s="206"/>
      <c r="AB197" s="206"/>
      <c r="AC197" s="206"/>
      <c r="AD197" s="206"/>
      <c r="AE197" s="206"/>
      <c r="AF197" s="206"/>
    </row>
    <row r="198" s="151" customFormat="1" ht="18.5" hidden="1" spans="3:32">
      <c r="C198" s="2" t="s">
        <v>183</v>
      </c>
      <c r="D198" s="8"/>
      <c r="E198" s="296">
        <v>-5.06</v>
      </c>
      <c r="F198" s="296">
        <v>-25.496</v>
      </c>
      <c r="G198" s="296">
        <v>-6.4</v>
      </c>
      <c r="H198" s="296">
        <v>-12.9</v>
      </c>
      <c r="I198" s="296">
        <v>-15.3</v>
      </c>
      <c r="J198" s="223">
        <v>-90.3</v>
      </c>
      <c r="K198" s="260">
        <v>-97.3</v>
      </c>
      <c r="L198" s="225"/>
      <c r="M198" s="225"/>
      <c r="N198" s="225"/>
      <c r="O198" s="260">
        <v>-292.5</v>
      </c>
      <c r="P198" s="225"/>
      <c r="Q198" s="73"/>
      <c r="R198" s="73"/>
      <c r="S198" s="223"/>
      <c r="T198" s="225"/>
      <c r="U198" s="73"/>
      <c r="V198" s="73"/>
      <c r="W198" s="223"/>
      <c r="X198" s="225"/>
      <c r="Y198" s="110"/>
      <c r="Z198" s="110"/>
      <c r="AA198" s="206"/>
      <c r="AB198" s="206"/>
      <c r="AC198" s="206"/>
      <c r="AD198" s="206"/>
      <c r="AE198" s="206"/>
      <c r="AF198" s="206"/>
    </row>
    <row r="199" s="151" customFormat="1" ht="18.5" spans="3:32">
      <c r="C199" s="2" t="s">
        <v>184</v>
      </c>
      <c r="D199" s="8"/>
      <c r="E199" s="294">
        <f>E196/E193</f>
        <v>0.878009474722496</v>
      </c>
      <c r="F199" s="294">
        <f t="shared" ref="F199:K199" si="294">F196/F193</f>
        <v>0.862079603008814</v>
      </c>
      <c r="G199" s="294">
        <f t="shared" si="294"/>
        <v>0.878349178910977</v>
      </c>
      <c r="H199" s="294">
        <f t="shared" si="294"/>
        <v>0.872708181891608</v>
      </c>
      <c r="I199" s="294">
        <f t="shared" si="294"/>
        <v>0.858607634872226</v>
      </c>
      <c r="J199" s="294">
        <f t="shared" si="294"/>
        <v>0.821520068317677</v>
      </c>
      <c r="K199" s="294">
        <f t="shared" si="294"/>
        <v>0.816307727743867</v>
      </c>
      <c r="L199" s="225"/>
      <c r="M199" s="64">
        <f>M196/M193</f>
        <v>0.803555969900779</v>
      </c>
      <c r="N199" s="64">
        <f>N196/N193</f>
        <v>0.795805794364657</v>
      </c>
      <c r="O199" s="294">
        <f t="shared" ref="O199" si="295">O196/O193</f>
        <v>0.79911781445646</v>
      </c>
      <c r="P199" s="225"/>
      <c r="Q199" s="64">
        <f>Q196/Q193</f>
        <v>0.8206745270085</v>
      </c>
      <c r="R199" s="64">
        <f>R196/R193</f>
        <v>0.813902524544179</v>
      </c>
      <c r="S199" s="294">
        <f t="shared" ref="S199" si="296">S196/S193</f>
        <v>0.816910672090814</v>
      </c>
      <c r="T199" s="225"/>
      <c r="U199" s="64">
        <f>U196/U193</f>
        <v>0.860220543189708</v>
      </c>
      <c r="V199" s="64">
        <f>V196/V193</f>
        <v>0.880732693968456</v>
      </c>
      <c r="W199" s="294">
        <f t="shared" ref="W199" si="297">W196/W193</f>
        <v>0.87107167760706</v>
      </c>
      <c r="X199" s="225"/>
      <c r="Y199" s="64">
        <f>Y196/Y193</f>
        <v>0.822301756995445</v>
      </c>
      <c r="Z199" s="64">
        <f>Z196/Z193</f>
        <v>0.872567032085057</v>
      </c>
      <c r="AA199" s="294">
        <v>0.85</v>
      </c>
      <c r="AB199" s="294">
        <v>0.85</v>
      </c>
      <c r="AC199" s="294">
        <v>0.85</v>
      </c>
      <c r="AD199" s="294">
        <v>0.85</v>
      </c>
      <c r="AE199" s="294">
        <v>0.85</v>
      </c>
      <c r="AF199" s="294">
        <v>0.85</v>
      </c>
    </row>
    <row r="200" s="151" customFormat="1" ht="18.5" spans="3:32">
      <c r="C200" s="2" t="s">
        <v>185</v>
      </c>
      <c r="D200" s="8"/>
      <c r="E200" s="296">
        <f>E197+E198</f>
        <v>-79.029</v>
      </c>
      <c r="F200" s="296">
        <f t="shared" ref="F200:K200" si="298">F197+F198</f>
        <v>-103.724</v>
      </c>
      <c r="G200" s="296">
        <f t="shared" si="298"/>
        <v>-112.6</v>
      </c>
      <c r="H200" s="296">
        <f t="shared" si="298"/>
        <v>-157.6</v>
      </c>
      <c r="I200" s="296">
        <f t="shared" si="298"/>
        <v>-268.9</v>
      </c>
      <c r="J200" s="296">
        <f t="shared" si="298"/>
        <v>-438.9</v>
      </c>
      <c r="K200" s="296">
        <f t="shared" si="298"/>
        <v>-478.5</v>
      </c>
      <c r="L200" s="225"/>
      <c r="M200" s="73">
        <f>-220.1+-74.9</f>
        <v>-295</v>
      </c>
      <c r="N200" s="73">
        <f>O200-M200</f>
        <v>-410.9</v>
      </c>
      <c r="O200" s="296">
        <f t="shared" ref="O200" si="299">O197+O198</f>
        <v>-705.9</v>
      </c>
      <c r="P200" s="225"/>
      <c r="Q200" s="73">
        <f>-241.8+-85.2</f>
        <v>-327</v>
      </c>
      <c r="R200" s="73">
        <f>S200-Q200</f>
        <v>-424.6</v>
      </c>
      <c r="S200" s="223">
        <v>-751.6</v>
      </c>
      <c r="T200" s="225"/>
      <c r="U200" s="73">
        <v>-273.8</v>
      </c>
      <c r="V200" s="73">
        <f>W200-U200</f>
        <v>-262.4</v>
      </c>
      <c r="W200" s="223">
        <v>-536.2</v>
      </c>
      <c r="X200" s="225"/>
      <c r="Y200" s="110">
        <v>-382.3</v>
      </c>
      <c r="Z200" s="73">
        <f>AA200-Y200</f>
        <v>-336.49664384</v>
      </c>
      <c r="AA200" s="204">
        <f>AA201*AA193</f>
        <v>-718.79664384</v>
      </c>
      <c r="AB200" s="204">
        <f t="shared" ref="AB200:AC200" si="300">AB201*AB193</f>
        <v>-772.91008212735</v>
      </c>
      <c r="AC200" s="204">
        <f t="shared" si="300"/>
        <v>-813.489502973684</v>
      </c>
      <c r="AD200" s="204">
        <f t="shared" ref="AD200" si="301">AD201*AD193</f>
        <v>-850.447336011631</v>
      </c>
      <c r="AE200" s="204">
        <f t="shared" ref="AE200" si="302">AE201*AE193</f>
        <v>-882.670568358743</v>
      </c>
      <c r="AF200" s="204">
        <f t="shared" ref="AF200" si="303">AF201*AF193</f>
        <v>-909.117192502089</v>
      </c>
    </row>
    <row r="201" s="151" customFormat="1" ht="18.5" spans="3:32">
      <c r="C201" s="2" t="s">
        <v>186</v>
      </c>
      <c r="D201" s="8"/>
      <c r="E201" s="294">
        <f>E200/E193</f>
        <v>0.121990525277504</v>
      </c>
      <c r="F201" s="294">
        <f t="shared" ref="F201:K201" si="304">F200/F193</f>
        <v>0.137920396991185</v>
      </c>
      <c r="G201" s="294">
        <f t="shared" si="304"/>
        <v>0.121650821089023</v>
      </c>
      <c r="H201" s="294">
        <f t="shared" si="304"/>
        <v>0.127291818108392</v>
      </c>
      <c r="I201" s="294">
        <f t="shared" si="304"/>
        <v>0.141392365127774</v>
      </c>
      <c r="J201" s="294">
        <f t="shared" si="304"/>
        <v>0.178479931682323</v>
      </c>
      <c r="K201" s="294">
        <f t="shared" si="304"/>
        <v>0.183692272256133</v>
      </c>
      <c r="L201" s="225"/>
      <c r="M201" s="64">
        <f>M200/M193</f>
        <v>0.196444030099221</v>
      </c>
      <c r="N201" s="64">
        <f>N200/N193</f>
        <v>0.204194205635343</v>
      </c>
      <c r="O201" s="294">
        <f t="shared" ref="O201" si="305">O200/O193</f>
        <v>0.20088218554354</v>
      </c>
      <c r="P201" s="225"/>
      <c r="Q201" s="64">
        <f>Q200/Q193</f>
        <v>0.1793254729915</v>
      </c>
      <c r="R201" s="64">
        <f>R200/R193</f>
        <v>0.18609747545582</v>
      </c>
      <c r="S201" s="294">
        <f t="shared" ref="S201" si="306">S200/S193</f>
        <v>0.183089327909186</v>
      </c>
      <c r="T201" s="225"/>
      <c r="U201" s="64">
        <f>U200/U193</f>
        <v>0.139779456810292</v>
      </c>
      <c r="V201" s="64">
        <f>V200/V193</f>
        <v>0.119267306031544</v>
      </c>
      <c r="W201" s="294">
        <f t="shared" ref="W201" si="307">W200/W193</f>
        <v>0.12892832239294</v>
      </c>
      <c r="X201" s="225"/>
      <c r="Y201" s="64">
        <f>Y200/Y193</f>
        <v>0.177698243004555</v>
      </c>
      <c r="Z201" s="64">
        <f>Z200/Z193</f>
        <v>0.127432967914943</v>
      </c>
      <c r="AA201" s="294">
        <v>0.15</v>
      </c>
      <c r="AB201" s="294">
        <v>0.15</v>
      </c>
      <c r="AC201" s="294">
        <v>0.15</v>
      </c>
      <c r="AD201" s="294">
        <v>0.15</v>
      </c>
      <c r="AE201" s="294">
        <v>0.15</v>
      </c>
      <c r="AF201" s="294">
        <v>0.15</v>
      </c>
    </row>
    <row r="202" ht="18.5" spans="3:32">
      <c r="C202" s="298" t="s">
        <v>175</v>
      </c>
      <c r="D202" s="298"/>
      <c r="E202" s="293">
        <f t="shared" ref="E202:K202" si="308">-E193/E172</f>
        <v>0.42557249024965</v>
      </c>
      <c r="F202" s="293">
        <f t="shared" si="308"/>
        <v>0.41284339709231</v>
      </c>
      <c r="G202" s="293">
        <f t="shared" si="308"/>
        <v>0.38912010762181</v>
      </c>
      <c r="H202" s="293">
        <f t="shared" si="308"/>
        <v>0.391630290377681</v>
      </c>
      <c r="I202" s="293">
        <f t="shared" si="308"/>
        <v>0.403111619822799</v>
      </c>
      <c r="J202" s="293">
        <f t="shared" si="308"/>
        <v>0.402418668586764</v>
      </c>
      <c r="K202" s="293">
        <f t="shared" si="308"/>
        <v>0.422372837384269</v>
      </c>
      <c r="L202" s="311"/>
      <c r="M202" s="314">
        <f>-M193/M172</f>
        <v>0.386458386947347</v>
      </c>
      <c r="N202" s="314">
        <f>-N193/N172</f>
        <v>0.430236038655606</v>
      </c>
      <c r="O202" s="293">
        <f>-O193/O172</f>
        <v>0.410370197360738</v>
      </c>
      <c r="P202" s="311"/>
      <c r="Q202" s="314">
        <f>-Q193/Q172</f>
        <v>0.412743322770484</v>
      </c>
      <c r="R202" s="314">
        <f>-R193/R172</f>
        <v>0.399789731908183</v>
      </c>
      <c r="S202" s="293">
        <f>-S193/S172</f>
        <v>0.405441975308642</v>
      </c>
      <c r="T202" s="311"/>
      <c r="U202" s="314">
        <f>-U193/U172</f>
        <v>0.409456719413031</v>
      </c>
      <c r="V202" s="314">
        <f>-V193/V172</f>
        <v>0.382087841475487</v>
      </c>
      <c r="W202" s="293">
        <f>-W193/W172</f>
        <v>0.394507683551508</v>
      </c>
      <c r="X202" s="311"/>
      <c r="Y202" s="314">
        <f>-Y193/Y172</f>
        <v>0.427526727872501</v>
      </c>
      <c r="Z202" s="314">
        <f>-Z193/Z172</f>
        <v>0.388329175198432</v>
      </c>
      <c r="AA202" s="202">
        <v>0.405</v>
      </c>
      <c r="AB202" s="202">
        <v>0.405</v>
      </c>
      <c r="AC202" s="202">
        <v>0.405</v>
      </c>
      <c r="AD202" s="202">
        <v>0.405</v>
      </c>
      <c r="AE202" s="202">
        <v>0.405</v>
      </c>
      <c r="AF202" s="202">
        <v>0.405</v>
      </c>
    </row>
    <row r="203" ht="18.5" spans="3:32">
      <c r="C203" s="292" t="s">
        <v>18</v>
      </c>
      <c r="D203" s="292"/>
      <c r="E203" s="294" t="s">
        <v>122</v>
      </c>
      <c r="F203" s="294">
        <f t="shared" ref="F203:K203" si="309">F193/E193-1</f>
        <v>0.160888135603686</v>
      </c>
      <c r="G203" s="294">
        <f t="shared" si="309"/>
        <v>0.230757775009075</v>
      </c>
      <c r="H203" s="294">
        <f t="shared" si="309"/>
        <v>0.337618841832325</v>
      </c>
      <c r="I203" s="294">
        <f t="shared" si="309"/>
        <v>0.536063322833374</v>
      </c>
      <c r="J203" s="294">
        <f t="shared" si="309"/>
        <v>0.293038174361131</v>
      </c>
      <c r="K203" s="294">
        <f t="shared" si="309"/>
        <v>0.0592899841405392</v>
      </c>
      <c r="L203" s="312"/>
      <c r="M203" s="312"/>
      <c r="N203" s="312"/>
      <c r="O203" s="294">
        <f>O193/K193-1</f>
        <v>0.34899612269185</v>
      </c>
      <c r="P203" s="312"/>
      <c r="Q203" s="312">
        <f>Q193/M193-1</f>
        <v>0.21429047079976</v>
      </c>
      <c r="R203" s="312">
        <f>R193/N193-1</f>
        <v>0.133826964170352</v>
      </c>
      <c r="S203" s="294">
        <f>S193/O193-1</f>
        <v>0.168212862834377</v>
      </c>
      <c r="T203" s="312"/>
      <c r="U203" s="312">
        <f>U193/Q193-1</f>
        <v>0.0741979709350151</v>
      </c>
      <c r="V203" s="312">
        <f>V193/R193-1</f>
        <v>-0.0357205469845726</v>
      </c>
      <c r="W203" s="294">
        <f>W193/S193-1</f>
        <v>0.013105649070668</v>
      </c>
      <c r="X203" s="312"/>
      <c r="Y203" s="312">
        <f>Y193/U193-1</f>
        <v>0.0983255054114764</v>
      </c>
      <c r="Z203" s="312">
        <f>Z193/V193-1</f>
        <v>0.20020800218172</v>
      </c>
      <c r="AA203" s="202">
        <f>AA193/W193-1</f>
        <v>0.152222372646614</v>
      </c>
      <c r="AB203" s="202">
        <f>AB193/AA193-1</f>
        <v>0.0752833763917733</v>
      </c>
      <c r="AC203" s="202">
        <f t="shared" ref="AC203:AF203" si="310">AC193/AB193-1</f>
        <v>0.0525021238365049</v>
      </c>
      <c r="AD203" s="202">
        <f t="shared" si="310"/>
        <v>0.0454312353175417</v>
      </c>
      <c r="AE203" s="202">
        <f t="shared" si="310"/>
        <v>0.0378897445881015</v>
      </c>
      <c r="AF203" s="202">
        <f t="shared" si="310"/>
        <v>0.0299620550309285</v>
      </c>
    </row>
    <row r="204" ht="18.5" spans="3:32">
      <c r="C204" s="292" t="s">
        <v>126</v>
      </c>
      <c r="D204" s="292"/>
      <c r="E204" s="296" t="s">
        <v>122</v>
      </c>
      <c r="F204" s="296">
        <f>(F202-E202)*10000</f>
        <v>-127.290931573401</v>
      </c>
      <c r="G204" s="296">
        <f t="shared" ref="G204:K204" si="311">(G202-F202)*10000</f>
        <v>-237.232894704993</v>
      </c>
      <c r="H204" s="296">
        <f t="shared" si="311"/>
        <v>25.1018275587045</v>
      </c>
      <c r="I204" s="296">
        <f t="shared" si="311"/>
        <v>114.813294451181</v>
      </c>
      <c r="J204" s="296">
        <f t="shared" si="311"/>
        <v>-6.92951236034411</v>
      </c>
      <c r="K204" s="296">
        <f t="shared" si="311"/>
        <v>199.541687975042</v>
      </c>
      <c r="L204" s="313"/>
      <c r="M204" s="313"/>
      <c r="N204" s="313"/>
      <c r="O204" s="296">
        <f>(O202-K202)*10000</f>
        <v>-120.026400235306</v>
      </c>
      <c r="P204" s="313"/>
      <c r="Q204" s="313">
        <f>(Q202-M202)*10000</f>
        <v>262.849358231376</v>
      </c>
      <c r="R204" s="313">
        <f>(R202-N202)*10000</f>
        <v>-304.463067474229</v>
      </c>
      <c r="S204" s="296">
        <f>(S202-O202)*10000</f>
        <v>-49.2822205209603</v>
      </c>
      <c r="T204" s="313"/>
      <c r="U204" s="313">
        <f>(U202-Q202)*10000</f>
        <v>-32.8660335745312</v>
      </c>
      <c r="V204" s="313">
        <f>(V202-R202)*10000</f>
        <v>-177.018904326964</v>
      </c>
      <c r="W204" s="296">
        <f>(W202-S202)*10000</f>
        <v>-109.342917571338</v>
      </c>
      <c r="X204" s="313"/>
      <c r="Y204" s="313">
        <f>(Y202-U202)*10000</f>
        <v>180.700084594699</v>
      </c>
      <c r="Z204" s="313">
        <f>(Z202-V202)*10000</f>
        <v>62.4133372294505</v>
      </c>
      <c r="AA204" s="296">
        <f>(AA202-W202)*10000</f>
        <v>104.923164484918</v>
      </c>
      <c r="AB204" s="204">
        <f>(AB203-AA203)*10000</f>
        <v>-769.389962548404</v>
      </c>
      <c r="AC204" s="204">
        <f t="shared" ref="AC204:AF204" si="312">(AC203-AB203)*10000</f>
        <v>-227.812525552684</v>
      </c>
      <c r="AD204" s="204">
        <f t="shared" si="312"/>
        <v>-70.708885189632</v>
      </c>
      <c r="AE204" s="204">
        <f t="shared" si="312"/>
        <v>-75.4149072944021</v>
      </c>
      <c r="AF204" s="204">
        <f t="shared" si="312"/>
        <v>-79.2768955717293</v>
      </c>
    </row>
    <row r="205" ht="18.5" spans="5:32">
      <c r="E205" s="188"/>
      <c r="F205" s="188"/>
      <c r="G205" s="188"/>
      <c r="H205" s="188"/>
      <c r="I205" s="188"/>
      <c r="J205" s="188"/>
      <c r="K205" s="188"/>
      <c r="O205" s="188"/>
      <c r="S205" s="188"/>
      <c r="W205" s="188"/>
      <c r="AA205" s="193"/>
      <c r="AB205" s="193"/>
      <c r="AC205" s="193"/>
      <c r="AD205" s="193"/>
      <c r="AE205" s="193"/>
      <c r="AF205" s="193"/>
    </row>
    <row r="206" ht="18.5" spans="3:32">
      <c r="C206" s="2"/>
      <c r="D206" s="2"/>
      <c r="E206" s="334"/>
      <c r="F206" s="334"/>
      <c r="G206" s="334"/>
      <c r="H206" s="334"/>
      <c r="I206" s="334"/>
      <c r="J206" s="221"/>
      <c r="K206" s="221"/>
      <c r="L206" s="65"/>
      <c r="M206" s="65"/>
      <c r="N206" s="65"/>
      <c r="O206" s="221"/>
      <c r="P206" s="65"/>
      <c r="Q206" s="65"/>
      <c r="R206" s="65"/>
      <c r="S206" s="221"/>
      <c r="T206" s="65"/>
      <c r="U206" s="65"/>
      <c r="V206" s="65"/>
      <c r="W206" s="221"/>
      <c r="X206" s="65"/>
      <c r="Y206" s="65"/>
      <c r="Z206" s="65"/>
      <c r="AA206" s="193"/>
      <c r="AB206" s="188"/>
      <c r="AC206" s="188"/>
      <c r="AD206" s="188"/>
      <c r="AE206" s="188"/>
      <c r="AF206" s="188"/>
    </row>
    <row r="207" ht="18.5" spans="3:32">
      <c r="C207" s="2" t="s">
        <v>187</v>
      </c>
      <c r="D207" s="2"/>
      <c r="E207" s="334">
        <v>0</v>
      </c>
      <c r="F207" s="334">
        <v>0</v>
      </c>
      <c r="G207" s="334">
        <v>0</v>
      </c>
      <c r="H207" s="334">
        <v>0</v>
      </c>
      <c r="I207" s="334">
        <v>0</v>
      </c>
      <c r="J207" s="334">
        <v>0</v>
      </c>
      <c r="K207" s="334">
        <v>0</v>
      </c>
      <c r="L207" s="65"/>
      <c r="M207" s="65">
        <v>0</v>
      </c>
      <c r="N207" s="65">
        <f>O207-M207</f>
        <v>0</v>
      </c>
      <c r="O207" s="221">
        <v>0</v>
      </c>
      <c r="P207" s="65"/>
      <c r="Q207" s="65">
        <v>0</v>
      </c>
      <c r="R207" s="65">
        <f>S207-Q207</f>
        <v>4.9</v>
      </c>
      <c r="S207" s="221">
        <v>4.9</v>
      </c>
      <c r="T207" s="65"/>
      <c r="U207" s="65">
        <v>3.1</v>
      </c>
      <c r="V207" s="65">
        <f>W207-U207</f>
        <v>4.5</v>
      </c>
      <c r="W207" s="221">
        <v>7.6</v>
      </c>
      <c r="X207" s="65"/>
      <c r="Y207" s="65">
        <v>3.4</v>
      </c>
      <c r="Z207" s="65">
        <f>AA207-Y207</f>
        <v>8.6</v>
      </c>
      <c r="AA207" s="193">
        <v>12</v>
      </c>
      <c r="AB207" s="193">
        <v>24</v>
      </c>
      <c r="AC207" s="193">
        <v>28</v>
      </c>
      <c r="AD207" s="193">
        <v>29</v>
      </c>
      <c r="AE207" s="193">
        <v>31</v>
      </c>
      <c r="AF207" s="193">
        <v>32</v>
      </c>
    </row>
    <row r="208" ht="18.5" spans="3:32">
      <c r="C208" s="2" t="s">
        <v>188</v>
      </c>
      <c r="D208" s="2"/>
      <c r="E208" s="334">
        <v>0.925</v>
      </c>
      <c r="F208" s="334">
        <v>1.242</v>
      </c>
      <c r="G208" s="334">
        <v>1.8</v>
      </c>
      <c r="H208" s="334">
        <v>2.4</v>
      </c>
      <c r="I208" s="334">
        <v>4.7</v>
      </c>
      <c r="J208" s="221">
        <v>10.9</v>
      </c>
      <c r="K208" s="221">
        <v>28.3</v>
      </c>
      <c r="L208" s="65"/>
      <c r="M208" s="65">
        <v>13.3</v>
      </c>
      <c r="N208" s="65">
        <f>O208-M208</f>
        <v>13.9</v>
      </c>
      <c r="O208" s="221">
        <v>27.2</v>
      </c>
      <c r="P208" s="65"/>
      <c r="Q208" s="65">
        <v>15.8</v>
      </c>
      <c r="R208" s="65">
        <f>S208-Q208</f>
        <v>12.8</v>
      </c>
      <c r="S208" s="221">
        <v>28.6</v>
      </c>
      <c r="T208" s="65"/>
      <c r="U208" s="65">
        <v>13.1</v>
      </c>
      <c r="V208" s="65">
        <f>W208-U208</f>
        <v>17.4</v>
      </c>
      <c r="W208" s="221">
        <v>30.5</v>
      </c>
      <c r="X208" s="65"/>
      <c r="Y208" s="65">
        <v>12.2</v>
      </c>
      <c r="Z208" s="65">
        <f>AA208-Y208</f>
        <v>23.8</v>
      </c>
      <c r="AA208" s="193">
        <v>36</v>
      </c>
      <c r="AB208" s="193">
        <v>42</v>
      </c>
      <c r="AC208" s="193">
        <v>43</v>
      </c>
      <c r="AD208" s="193">
        <v>47</v>
      </c>
      <c r="AE208" s="193">
        <v>50</v>
      </c>
      <c r="AF208" s="193">
        <v>53</v>
      </c>
    </row>
    <row r="209" ht="18.5" spans="3:32">
      <c r="C209" s="2"/>
      <c r="D209" s="2"/>
      <c r="E209" s="334"/>
      <c r="F209" s="334"/>
      <c r="G209" s="334"/>
      <c r="H209" s="334"/>
      <c r="I209" s="334"/>
      <c r="J209" s="221"/>
      <c r="K209" s="221"/>
      <c r="L209" s="65"/>
      <c r="M209" s="65"/>
      <c r="N209" s="65"/>
      <c r="O209" s="221"/>
      <c r="P209" s="65"/>
      <c r="Q209" s="65"/>
      <c r="R209" s="65"/>
      <c r="S209" s="221"/>
      <c r="T209" s="65"/>
      <c r="U209" s="65"/>
      <c r="V209" s="65"/>
      <c r="W209" s="221"/>
      <c r="X209" s="65"/>
      <c r="Y209" s="65"/>
      <c r="Z209" s="65"/>
      <c r="AA209" s="193"/>
      <c r="AB209" s="193"/>
      <c r="AC209" s="193"/>
      <c r="AD209" s="193"/>
      <c r="AE209" s="193"/>
      <c r="AF209" s="193"/>
    </row>
    <row r="210" s="151" customFormat="1" ht="18.5" spans="3:32">
      <c r="C210" s="8" t="s">
        <v>189</v>
      </c>
      <c r="D210" s="8"/>
      <c r="E210" s="219">
        <f>E185+E193+E208+E207</f>
        <v>92.646</v>
      </c>
      <c r="F210" s="219">
        <f t="shared" ref="F210:K210" si="313">F185+F193+F208+F207</f>
        <v>133.406</v>
      </c>
      <c r="G210" s="219">
        <f t="shared" si="313"/>
        <v>239.8</v>
      </c>
      <c r="H210" s="219">
        <f t="shared" si="313"/>
        <v>295.9</v>
      </c>
      <c r="I210" s="219">
        <f t="shared" si="313"/>
        <v>346.2</v>
      </c>
      <c r="J210" s="219">
        <f t="shared" si="313"/>
        <v>426.6</v>
      </c>
      <c r="K210" s="219">
        <f t="shared" si="313"/>
        <v>385</v>
      </c>
      <c r="L210" s="220"/>
      <c r="M210" s="220">
        <f t="shared" ref="M210" si="314">M185+M193+M208+M207</f>
        <v>396.8</v>
      </c>
      <c r="N210" s="220">
        <f>O210-M210</f>
        <v>324.4</v>
      </c>
      <c r="O210" s="219">
        <f t="shared" ref="O210" si="315">O185+O193+O208+O207</f>
        <v>721.2</v>
      </c>
      <c r="P210" s="220"/>
      <c r="Q210" s="220">
        <f t="shared" ref="Q210" si="316">Q185+Q193+Q208+Q207</f>
        <v>332.8</v>
      </c>
      <c r="R210" s="220">
        <f>S210-Q210</f>
        <v>473.2</v>
      </c>
      <c r="S210" s="219">
        <f t="shared" ref="S210" si="317">S185+S193+S208+S207</f>
        <v>806</v>
      </c>
      <c r="T210" s="220"/>
      <c r="U210" s="220">
        <f t="shared" ref="U210:Y210" si="318">U185+U193+U208+U207</f>
        <v>374.8</v>
      </c>
      <c r="V210" s="220">
        <f>W210-U210</f>
        <v>552.400000000001</v>
      </c>
      <c r="W210" s="219">
        <f t="shared" si="318"/>
        <v>927.2</v>
      </c>
      <c r="X210" s="220"/>
      <c r="Y210" s="220">
        <f t="shared" si="318"/>
        <v>292.2</v>
      </c>
      <c r="Z210" s="220">
        <f>AA210-Y210</f>
        <v>524.8828288</v>
      </c>
      <c r="AA210" s="219">
        <f t="shared" ref="AA210:AF210" si="319">AA185+AA193+AA208+AA207</f>
        <v>817.082828799999</v>
      </c>
      <c r="AB210" s="219">
        <f t="shared" si="319"/>
        <v>892.981980876999</v>
      </c>
      <c r="AC210" s="219">
        <f t="shared" si="319"/>
        <v>941.400291247563</v>
      </c>
      <c r="AD210" s="219">
        <f t="shared" si="319"/>
        <v>985.943651699687</v>
      </c>
      <c r="AE210" s="219">
        <f t="shared" si="319"/>
        <v>1025.42118425215</v>
      </c>
      <c r="AF210" s="219">
        <f t="shared" si="319"/>
        <v>1057.71798374709</v>
      </c>
    </row>
    <row r="211" ht="18.5" spans="3:32">
      <c r="C211" s="298" t="s">
        <v>40</v>
      </c>
      <c r="D211" s="298"/>
      <c r="E211" s="293">
        <f t="shared" ref="E211:K211" si="320">E210/E172</f>
        <v>0.0608611052170697</v>
      </c>
      <c r="F211" s="293">
        <f t="shared" si="320"/>
        <v>0.0732335264913386</v>
      </c>
      <c r="G211" s="293">
        <f t="shared" si="320"/>
        <v>0.100811367553706</v>
      </c>
      <c r="H211" s="293">
        <f t="shared" si="320"/>
        <v>0.093597773138483</v>
      </c>
      <c r="I211" s="293">
        <f t="shared" si="320"/>
        <v>0.0733816609436602</v>
      </c>
      <c r="J211" s="293">
        <f t="shared" si="320"/>
        <v>0.0698108267329973</v>
      </c>
      <c r="K211" s="293">
        <f t="shared" si="320"/>
        <v>0.0624260211113454</v>
      </c>
      <c r="L211" s="311"/>
      <c r="M211" s="311">
        <f>M210/M172</f>
        <v>0.102115394513356</v>
      </c>
      <c r="N211" s="311">
        <f>N210/N172</f>
        <v>0.0693577353972462</v>
      </c>
      <c r="O211" s="293">
        <f>O210/O172</f>
        <v>0.0842228191054537</v>
      </c>
      <c r="P211" s="311"/>
      <c r="Q211" s="311">
        <f>Q210/Q172</f>
        <v>0.0753282028066999</v>
      </c>
      <c r="R211" s="311">
        <f>R210/R172</f>
        <v>0.0829157175398633</v>
      </c>
      <c r="S211" s="293">
        <f>S210/S172</f>
        <v>0.0796049382716049</v>
      </c>
      <c r="T211" s="311"/>
      <c r="U211" s="311">
        <f>U210/U172</f>
        <v>0.0783461192750684</v>
      </c>
      <c r="V211" s="311">
        <f>V210/V172</f>
        <v>0.0959344228130808</v>
      </c>
      <c r="W211" s="293">
        <f>W210/W172</f>
        <v>0.0879529501043446</v>
      </c>
      <c r="X211" s="311"/>
      <c r="Y211" s="311">
        <f>Y210/Y172</f>
        <v>0.0580660546083224</v>
      </c>
      <c r="Z211" s="311">
        <f>Z210/Z172</f>
        <v>0.0771904275820746</v>
      </c>
      <c r="AA211" s="202">
        <f>AA210/AA172</f>
        <v>0.0690567802103553</v>
      </c>
      <c r="AB211" s="202">
        <f t="shared" ref="AB211:AF211" si="321">AB210/AB172</f>
        <v>0.0701875374545047</v>
      </c>
      <c r="AC211" s="202">
        <f t="shared" si="321"/>
        <v>0.0703021581522971</v>
      </c>
      <c r="AD211" s="202">
        <f t="shared" si="321"/>
        <v>0.0704289075930938</v>
      </c>
      <c r="AE211" s="202">
        <f t="shared" si="321"/>
        <v>0.0705748431820375</v>
      </c>
      <c r="AF211" s="202">
        <f t="shared" si="321"/>
        <v>0.0706799607823808</v>
      </c>
    </row>
    <row r="212" ht="18.5" spans="3:32">
      <c r="C212" s="292" t="s">
        <v>18</v>
      </c>
      <c r="D212" s="292"/>
      <c r="E212" s="294" t="s">
        <v>122</v>
      </c>
      <c r="F212" s="294">
        <f t="shared" ref="F212:K212" si="322">F210/E210-1</f>
        <v>0.439954234397599</v>
      </c>
      <c r="G212" s="294">
        <f t="shared" si="322"/>
        <v>0.797520351408482</v>
      </c>
      <c r="H212" s="294">
        <f t="shared" si="322"/>
        <v>0.233944954128442</v>
      </c>
      <c r="I212" s="294">
        <f t="shared" si="322"/>
        <v>0.169989861439675</v>
      </c>
      <c r="J212" s="294">
        <f t="shared" si="322"/>
        <v>0.232235701906413</v>
      </c>
      <c r="K212" s="294">
        <f t="shared" si="322"/>
        <v>-0.0975152367557429</v>
      </c>
      <c r="L212" s="312"/>
      <c r="M212" s="312"/>
      <c r="N212" s="312"/>
      <c r="O212" s="294">
        <f>O210/K210-1</f>
        <v>0.873246753246752</v>
      </c>
      <c r="P212" s="312"/>
      <c r="Q212" s="312">
        <f>Q210/M210-1</f>
        <v>-0.161290322580646</v>
      </c>
      <c r="R212" s="312">
        <f>R210/N210-1</f>
        <v>0.458692971639951</v>
      </c>
      <c r="S212" s="294">
        <f>S210/O210-1</f>
        <v>0.117581808097615</v>
      </c>
      <c r="T212" s="312"/>
      <c r="U212" s="312">
        <f>U210/Q210-1</f>
        <v>0.126201923076922</v>
      </c>
      <c r="V212" s="312">
        <f>V210/R210-1</f>
        <v>0.167371090448015</v>
      </c>
      <c r="W212" s="294">
        <f>W210/S210-1</f>
        <v>0.150372208436725</v>
      </c>
      <c r="X212" s="312"/>
      <c r="Y212" s="312">
        <f>Y210/U210-1</f>
        <v>-0.220384204909285</v>
      </c>
      <c r="Z212" s="312">
        <f>Z210/V210-1</f>
        <v>-0.0498138508327319</v>
      </c>
      <c r="AA212" s="202">
        <f>AA210/W210-1</f>
        <v>-0.118763126833478</v>
      </c>
      <c r="AB212" s="202">
        <f>AB210/AA210-1</f>
        <v>0.0928904015624317</v>
      </c>
      <c r="AC212" s="202">
        <f t="shared" ref="AC212:AF212" si="323">AC210/AB210-1</f>
        <v>0.0542209265219573</v>
      </c>
      <c r="AD212" s="202">
        <f t="shared" si="323"/>
        <v>0.0473160682721845</v>
      </c>
      <c r="AE212" s="202">
        <f t="shared" si="323"/>
        <v>0.0400403537102847</v>
      </c>
      <c r="AF212" s="202">
        <f t="shared" si="323"/>
        <v>0.0314961305568238</v>
      </c>
    </row>
    <row r="213" ht="18.5" spans="3:32">
      <c r="C213" s="292" t="s">
        <v>126</v>
      </c>
      <c r="D213" s="292"/>
      <c r="E213" s="296" t="s">
        <v>122</v>
      </c>
      <c r="F213" s="296">
        <f>(F211-E211)*10000</f>
        <v>123.724212742689</v>
      </c>
      <c r="G213" s="296">
        <f t="shared" ref="G213:K213" si="324">(G211-F211)*10000</f>
        <v>275.778410623672</v>
      </c>
      <c r="H213" s="296">
        <f t="shared" si="324"/>
        <v>-72.1359441522276</v>
      </c>
      <c r="I213" s="296">
        <f t="shared" si="324"/>
        <v>-202.161121948228</v>
      </c>
      <c r="J213" s="296">
        <f t="shared" si="324"/>
        <v>-35.7083421066283</v>
      </c>
      <c r="K213" s="296">
        <f t="shared" si="324"/>
        <v>-73.8480562165198</v>
      </c>
      <c r="L213" s="313"/>
      <c r="M213" s="313"/>
      <c r="N213" s="313"/>
      <c r="O213" s="296">
        <f>(O211-K211)*10000</f>
        <v>217.967979941083</v>
      </c>
      <c r="P213" s="313"/>
      <c r="Q213" s="313">
        <f>(Q211-M211)*10000</f>
        <v>-267.871917066565</v>
      </c>
      <c r="R213" s="313">
        <f>(R211-N211)*10000</f>
        <v>135.579821426171</v>
      </c>
      <c r="S213" s="296">
        <f>(S211-O211)*10000</f>
        <v>-46.1788083384877</v>
      </c>
      <c r="T213" s="313"/>
      <c r="U213" s="313">
        <f>(U211-Q211)*10000</f>
        <v>30.1791646836853</v>
      </c>
      <c r="V213" s="313">
        <f>(V211-R211)*10000</f>
        <v>130.187052732175</v>
      </c>
      <c r="W213" s="296">
        <f>(W211-S211)*10000</f>
        <v>83.4801183273963</v>
      </c>
      <c r="X213" s="313"/>
      <c r="Y213" s="313">
        <f>(Y211-U211)*10000</f>
        <v>-202.80064666746</v>
      </c>
      <c r="Z213" s="313">
        <f>(Z211-V211)*10000</f>
        <v>-187.439952310062</v>
      </c>
      <c r="AA213" s="204">
        <f>(AA212-W212)*10000</f>
        <v>-2691.35335270203</v>
      </c>
      <c r="AB213" s="204">
        <f>(AB212-AA212)*10000</f>
        <v>2116.5352839591</v>
      </c>
      <c r="AC213" s="204">
        <f t="shared" ref="AC213:AF213" si="325">(AC212-AB212)*10000</f>
        <v>-386.694750404744</v>
      </c>
      <c r="AD213" s="204">
        <f t="shared" si="325"/>
        <v>-69.0485824977283</v>
      </c>
      <c r="AE213" s="204">
        <f t="shared" si="325"/>
        <v>-72.7571456189979</v>
      </c>
      <c r="AF213" s="204">
        <f t="shared" si="325"/>
        <v>-85.4422315346093</v>
      </c>
    </row>
    <row r="214" ht="18.5" spans="5:32">
      <c r="E214" s="188"/>
      <c r="F214" s="188"/>
      <c r="G214" s="188"/>
      <c r="H214" s="188"/>
      <c r="I214" s="188"/>
      <c r="J214" s="188"/>
      <c r="K214" s="188"/>
      <c r="O214" s="188"/>
      <c r="S214" s="188"/>
      <c r="W214" s="188"/>
      <c r="AA214" s="193"/>
      <c r="AB214" s="193"/>
      <c r="AC214" s="193"/>
      <c r="AD214" s="193"/>
      <c r="AE214" s="193"/>
      <c r="AF214" s="193"/>
    </row>
    <row r="215" s="151" customFormat="1" ht="18.5" spans="3:32">
      <c r="C215" s="301" t="s">
        <v>177</v>
      </c>
      <c r="D215" s="301"/>
      <c r="E215" s="335" t="s">
        <v>122</v>
      </c>
      <c r="F215" s="302">
        <f t="shared" ref="F215:K215" si="326">(F210-E210)/(F172-E172)</f>
        <v>0.13613939926319</v>
      </c>
      <c r="G215" s="302">
        <f t="shared" si="326"/>
        <v>0.19099610805532</v>
      </c>
      <c r="H215" s="302">
        <f t="shared" si="326"/>
        <v>0.0716749712533541</v>
      </c>
      <c r="I215" s="302">
        <f t="shared" si="326"/>
        <v>0.0323181701362116</v>
      </c>
      <c r="J215" s="302">
        <f t="shared" si="326"/>
        <v>0.0577171572146448</v>
      </c>
      <c r="K215" s="302">
        <f t="shared" si="326"/>
        <v>-0.736283185840707</v>
      </c>
      <c r="L215" s="346"/>
      <c r="M215" s="346"/>
      <c r="N215" s="346"/>
      <c r="O215" s="335">
        <f>(O210-K210)/(O172-K172)</f>
        <v>0.140334766456568</v>
      </c>
      <c r="P215" s="346"/>
      <c r="Q215" s="346">
        <f>(Q210-M210)/(Q172-M172)</f>
        <v>-0.120255543028937</v>
      </c>
      <c r="R215" s="346">
        <f>(R210-N210)/(R172-N172)</f>
        <v>0.144494076519713</v>
      </c>
      <c r="S215" s="335">
        <f>(S210-O210)/(S172-O172)</f>
        <v>0.0542893725992317</v>
      </c>
      <c r="T215" s="346"/>
      <c r="U215" s="346">
        <f>(U210-Q210)/(U172-Q172)</f>
        <v>0.114785460508335</v>
      </c>
      <c r="V215" s="346">
        <f>(V210-R210)/(V172-R172)</f>
        <v>1.54990215264188</v>
      </c>
      <c r="W215" s="335">
        <f>(W210-S210)/(W172-S172)</f>
        <v>0.290647482014389</v>
      </c>
      <c r="X215" s="346"/>
      <c r="Y215" s="346">
        <f>(Y210-U210)/(Y172-U172)</f>
        <v>-0.332662102295609</v>
      </c>
      <c r="Z215" s="346">
        <f>(Z210-V210)/(Z172-V172)</f>
        <v>-0.0264145355087028</v>
      </c>
      <c r="AA215" s="335">
        <f>(AA210-W210)/(AA172-W172)</f>
        <v>-0.0853592684997176</v>
      </c>
      <c r="AB215" s="335">
        <f>(AB210-AA210)/(AB172-AA172)</f>
        <v>0.0852075498177242</v>
      </c>
      <c r="AC215" s="335">
        <f t="shared" ref="AC215:AF215" si="327">(AC210-AB210)/(AC172-AB172)</f>
        <v>0.072485321221077</v>
      </c>
      <c r="AD215" s="335">
        <f t="shared" si="327"/>
        <v>0.0732188260250017</v>
      </c>
      <c r="AE215" s="335">
        <f t="shared" si="327"/>
        <v>0.0744264286316147</v>
      </c>
      <c r="AF215" s="335">
        <f t="shared" si="327"/>
        <v>0.0741883182777105</v>
      </c>
    </row>
    <row r="216" ht="18.5" spans="3:32">
      <c r="C216" s="292"/>
      <c r="D216" s="292"/>
      <c r="E216" s="294"/>
      <c r="F216" s="294"/>
      <c r="G216" s="294"/>
      <c r="H216" s="294"/>
      <c r="I216" s="294"/>
      <c r="J216" s="294"/>
      <c r="K216" s="294"/>
      <c r="L216" s="312"/>
      <c r="M216" s="312"/>
      <c r="N216" s="312"/>
      <c r="O216" s="294"/>
      <c r="P216" s="312"/>
      <c r="Q216" s="312"/>
      <c r="R216" s="312"/>
      <c r="S216" s="294"/>
      <c r="T216" s="312"/>
      <c r="U216" s="312"/>
      <c r="V216" s="312"/>
      <c r="W216" s="294"/>
      <c r="X216" s="312"/>
      <c r="Y216" s="312"/>
      <c r="Z216" s="312"/>
      <c r="AA216" s="193"/>
      <c r="AB216" s="193"/>
      <c r="AC216" s="193"/>
      <c r="AD216" s="193"/>
      <c r="AE216" s="193"/>
      <c r="AF216" s="193"/>
    </row>
    <row r="217" ht="18.5" hidden="1" spans="3:32">
      <c r="C217" s="2" t="s">
        <v>190</v>
      </c>
      <c r="D217" s="2"/>
      <c r="E217" s="336">
        <v>0.657</v>
      </c>
      <c r="F217" s="336">
        <v>0.388</v>
      </c>
      <c r="G217" s="336">
        <v>0.8</v>
      </c>
      <c r="H217" s="336">
        <v>0.6</v>
      </c>
      <c r="I217" s="336">
        <v>1.2</v>
      </c>
      <c r="J217" s="221">
        <v>1.7</v>
      </c>
      <c r="K217" s="221">
        <v>1.5</v>
      </c>
      <c r="L217" s="65"/>
      <c r="M217" s="65">
        <v>40</v>
      </c>
      <c r="N217" s="65"/>
      <c r="O217" s="221">
        <v>1.4</v>
      </c>
      <c r="P217" s="65"/>
      <c r="Q217" s="65">
        <v>-28</v>
      </c>
      <c r="R217" s="65"/>
      <c r="S217" s="221">
        <v>-6</v>
      </c>
      <c r="T217" s="65"/>
      <c r="U217" s="65">
        <v>-53</v>
      </c>
      <c r="V217" s="65"/>
      <c r="W217" s="204">
        <v>-161</v>
      </c>
      <c r="X217" s="110"/>
      <c r="Y217" s="110">
        <v>-18</v>
      </c>
      <c r="Z217" s="110"/>
      <c r="AA217" s="193"/>
      <c r="AB217" s="193"/>
      <c r="AC217" s="193"/>
      <c r="AD217" s="193"/>
      <c r="AE217" s="193"/>
      <c r="AF217" s="193"/>
    </row>
    <row r="218" ht="18.5" hidden="1" spans="3:32">
      <c r="C218" s="2" t="s">
        <v>191</v>
      </c>
      <c r="D218" s="2"/>
      <c r="E218" s="336">
        <v>-2.807</v>
      </c>
      <c r="F218" s="336">
        <v>-2.163</v>
      </c>
      <c r="G218" s="336">
        <v>-2.2</v>
      </c>
      <c r="H218" s="334">
        <v>-2</v>
      </c>
      <c r="I218" s="334">
        <v>-7.5</v>
      </c>
      <c r="J218" s="221">
        <v>-79.8</v>
      </c>
      <c r="K218" s="221">
        <v>-62.5</v>
      </c>
      <c r="L218" s="65"/>
      <c r="M218" s="65">
        <v>54</v>
      </c>
      <c r="N218" s="65"/>
      <c r="O218" s="221">
        <v>-67.9</v>
      </c>
      <c r="P218" s="65"/>
      <c r="Q218" s="65">
        <v>3</v>
      </c>
      <c r="R218" s="65"/>
      <c r="S218" s="221">
        <v>-280</v>
      </c>
      <c r="T218" s="65"/>
      <c r="U218" s="65">
        <v>-127</v>
      </c>
      <c r="V218" s="65"/>
      <c r="W218" s="204">
        <v>-228</v>
      </c>
      <c r="X218" s="110"/>
      <c r="Y218" s="110">
        <v>-38</v>
      </c>
      <c r="Z218" s="110"/>
      <c r="AA218" s="193"/>
      <c r="AB218" s="193"/>
      <c r="AC218" s="193"/>
      <c r="AD218" s="193"/>
      <c r="AE218" s="193"/>
      <c r="AF218" s="193"/>
    </row>
    <row r="219" ht="18.5" spans="3:32">
      <c r="C219" s="2" t="s">
        <v>192</v>
      </c>
      <c r="D219" s="2"/>
      <c r="E219" s="336">
        <f>SUM(E217:E218)</f>
        <v>-2.15</v>
      </c>
      <c r="F219" s="336">
        <f t="shared" ref="F219:K219" si="328">SUM(F217:F218)</f>
        <v>-1.775</v>
      </c>
      <c r="G219" s="336">
        <f t="shared" si="328"/>
        <v>-1.4</v>
      </c>
      <c r="H219" s="336">
        <f t="shared" si="328"/>
        <v>-1.4</v>
      </c>
      <c r="I219" s="336">
        <f t="shared" si="328"/>
        <v>-6.3</v>
      </c>
      <c r="J219" s="336">
        <f t="shared" si="328"/>
        <v>-78.1</v>
      </c>
      <c r="K219" s="336">
        <f t="shared" si="328"/>
        <v>-61</v>
      </c>
      <c r="L219" s="65"/>
      <c r="M219" s="65">
        <f>0.5-32.7</f>
        <v>-32.2</v>
      </c>
      <c r="N219" s="65">
        <f>O219-M219</f>
        <v>-34.3</v>
      </c>
      <c r="O219" s="336">
        <f t="shared" ref="O219" si="329">SUM(O217:O218)</f>
        <v>-66.5</v>
      </c>
      <c r="P219" s="65"/>
      <c r="Q219" s="65">
        <f>1.1-35.7</f>
        <v>-34.6</v>
      </c>
      <c r="R219" s="65">
        <f>S219-Q219</f>
        <v>-284.7</v>
      </c>
      <c r="S219" s="221">
        <v>-319.3</v>
      </c>
      <c r="T219" s="65"/>
      <c r="U219" s="65">
        <v>-21.1</v>
      </c>
      <c r="V219" s="65">
        <f>W219-U219</f>
        <v>-94.9</v>
      </c>
      <c r="W219" s="204">
        <v>-116</v>
      </c>
      <c r="X219" s="110"/>
      <c r="Y219" s="110">
        <v>-165.9</v>
      </c>
      <c r="Z219" s="65">
        <f>AA219-Y219</f>
        <v>49.9</v>
      </c>
      <c r="AA219" s="204">
        <f>W219</f>
        <v>-116</v>
      </c>
      <c r="AB219" s="204">
        <f>AA219</f>
        <v>-116</v>
      </c>
      <c r="AC219" s="204">
        <f t="shared" ref="AC219:AF219" si="330">AB219</f>
        <v>-116</v>
      </c>
      <c r="AD219" s="204">
        <f t="shared" si="330"/>
        <v>-116</v>
      </c>
      <c r="AE219" s="204">
        <f t="shared" si="330"/>
        <v>-116</v>
      </c>
      <c r="AF219" s="204">
        <f t="shared" si="330"/>
        <v>-116</v>
      </c>
    </row>
    <row r="220" s="151" customFormat="1" ht="18.5" spans="3:32">
      <c r="C220" s="8" t="s">
        <v>193</v>
      </c>
      <c r="D220" s="8"/>
      <c r="E220" s="219">
        <f>E210+E219</f>
        <v>90.496</v>
      </c>
      <c r="F220" s="219">
        <f t="shared" ref="F220:K220" si="331">F210+F219</f>
        <v>131.631</v>
      </c>
      <c r="G220" s="219">
        <f t="shared" si="331"/>
        <v>238.4</v>
      </c>
      <c r="H220" s="219">
        <f t="shared" si="331"/>
        <v>294.5</v>
      </c>
      <c r="I220" s="219">
        <f t="shared" si="331"/>
        <v>339.9</v>
      </c>
      <c r="J220" s="219">
        <f t="shared" si="331"/>
        <v>348.5</v>
      </c>
      <c r="K220" s="219">
        <f t="shared" si="331"/>
        <v>324</v>
      </c>
      <c r="L220" s="220"/>
      <c r="M220" s="220">
        <f t="shared" ref="M220:N220" si="332">M210+M219</f>
        <v>364.6</v>
      </c>
      <c r="N220" s="220">
        <f t="shared" si="332"/>
        <v>290.1</v>
      </c>
      <c r="O220" s="219">
        <f t="shared" ref="O220" si="333">O210+O219</f>
        <v>654.7</v>
      </c>
      <c r="P220" s="220"/>
      <c r="Q220" s="220">
        <f t="shared" ref="Q220:R220" si="334">Q210+Q219</f>
        <v>298.2</v>
      </c>
      <c r="R220" s="220">
        <f t="shared" si="334"/>
        <v>188.5</v>
      </c>
      <c r="S220" s="219">
        <f t="shared" ref="S220" si="335">S210+S219</f>
        <v>486.7</v>
      </c>
      <c r="T220" s="220"/>
      <c r="U220" s="220">
        <f t="shared" ref="U220:Z220" si="336">U210+U219</f>
        <v>353.7</v>
      </c>
      <c r="V220" s="220">
        <f t="shared" si="336"/>
        <v>457.500000000001</v>
      </c>
      <c r="W220" s="219">
        <f t="shared" si="336"/>
        <v>811.2</v>
      </c>
      <c r="X220" s="220"/>
      <c r="Y220" s="220">
        <f t="shared" si="336"/>
        <v>126.3</v>
      </c>
      <c r="Z220" s="220">
        <f t="shared" si="336"/>
        <v>574.782828799999</v>
      </c>
      <c r="AA220" s="219">
        <f t="shared" ref="AA220:AF220" si="337">AA210+AA219</f>
        <v>701.082828799999</v>
      </c>
      <c r="AB220" s="219">
        <f t="shared" si="337"/>
        <v>776.981980876999</v>
      </c>
      <c r="AC220" s="219">
        <f t="shared" si="337"/>
        <v>825.400291247563</v>
      </c>
      <c r="AD220" s="219">
        <f t="shared" si="337"/>
        <v>869.943651699687</v>
      </c>
      <c r="AE220" s="219">
        <f t="shared" si="337"/>
        <v>909.421184252152</v>
      </c>
      <c r="AF220" s="219">
        <f t="shared" si="337"/>
        <v>941.71798374709</v>
      </c>
    </row>
    <row r="221" s="151" customFormat="1" ht="18.5" spans="3:32">
      <c r="C221" s="8"/>
      <c r="D221" s="8"/>
      <c r="E221" s="219"/>
      <c r="F221" s="219"/>
      <c r="G221" s="219"/>
      <c r="H221" s="219"/>
      <c r="I221" s="219"/>
      <c r="J221" s="219"/>
      <c r="K221" s="219"/>
      <c r="L221" s="220"/>
      <c r="M221" s="220"/>
      <c r="N221" s="220"/>
      <c r="O221" s="219"/>
      <c r="P221" s="220"/>
      <c r="Q221" s="220"/>
      <c r="R221" s="220"/>
      <c r="S221" s="219"/>
      <c r="T221" s="220"/>
      <c r="U221" s="220"/>
      <c r="V221" s="220"/>
      <c r="W221" s="219"/>
      <c r="X221" s="220"/>
      <c r="Y221" s="220"/>
      <c r="Z221" s="220"/>
      <c r="AA221" s="206"/>
      <c r="AB221" s="206"/>
      <c r="AC221" s="206"/>
      <c r="AD221" s="206"/>
      <c r="AE221" s="206"/>
      <c r="AF221" s="206"/>
    </row>
    <row r="222" ht="18.5" spans="3:32">
      <c r="C222" s="2" t="s">
        <v>194</v>
      </c>
      <c r="D222" s="2"/>
      <c r="E222" s="334">
        <v>-20.741</v>
      </c>
      <c r="F222" s="334">
        <v>-31.001</v>
      </c>
      <c r="G222" s="334">
        <v>-53.788</v>
      </c>
      <c r="H222" s="334">
        <v>-58.1</v>
      </c>
      <c r="I222" s="334">
        <v>-75.7</v>
      </c>
      <c r="J222" s="221">
        <v>-97.8</v>
      </c>
      <c r="K222" s="221">
        <v>-94.8</v>
      </c>
      <c r="L222" s="65"/>
      <c r="M222" s="65">
        <v>-87.8</v>
      </c>
      <c r="N222" s="65">
        <f>O222-M222</f>
        <v>-107.3</v>
      </c>
      <c r="O222" s="221">
        <v>-195.1</v>
      </c>
      <c r="P222" s="65"/>
      <c r="Q222" s="65">
        <v>-82</v>
      </c>
      <c r="R222" s="65">
        <f>S222-Q222</f>
        <v>-132.2</v>
      </c>
      <c r="S222" s="221">
        <v>-214.2</v>
      </c>
      <c r="T222" s="65"/>
      <c r="U222" s="65">
        <v>-96.2</v>
      </c>
      <c r="V222" s="65">
        <f>W222-U222</f>
        <v>-110</v>
      </c>
      <c r="W222" s="204">
        <v>-206.2</v>
      </c>
      <c r="X222" s="110"/>
      <c r="Y222" s="110">
        <v>-74.1</v>
      </c>
      <c r="Z222" s="65">
        <f>AA222-Y222</f>
        <v>-104.109170732939</v>
      </c>
      <c r="AA222" s="204">
        <f>-AA220*AA223</f>
        <v>-178.209170732939</v>
      </c>
      <c r="AB222" s="204">
        <f t="shared" ref="AB222:AF222" si="338">-AB220*AB223</f>
        <v>-197.502076500046</v>
      </c>
      <c r="AC222" s="204">
        <f t="shared" si="338"/>
        <v>-209.809590797889</v>
      </c>
      <c r="AD222" s="204">
        <f t="shared" si="338"/>
        <v>-221.132126455221</v>
      </c>
      <c r="AE222" s="204">
        <f t="shared" si="338"/>
        <v>-231.166972624252</v>
      </c>
      <c r="AF222" s="204">
        <f t="shared" si="338"/>
        <v>-239.37653876806</v>
      </c>
    </row>
    <row r="223" ht="18.5" spans="3:32">
      <c r="C223" s="2" t="s">
        <v>195</v>
      </c>
      <c r="D223" s="2"/>
      <c r="E223" s="202">
        <f t="shared" ref="E223:H223" si="339">-E222/E220</f>
        <v>0.22919245049505</v>
      </c>
      <c r="F223" s="202">
        <f t="shared" si="339"/>
        <v>0.235514430491298</v>
      </c>
      <c r="G223" s="202">
        <f t="shared" si="339"/>
        <v>0.225620805369128</v>
      </c>
      <c r="H223" s="202">
        <f t="shared" si="339"/>
        <v>0.197283531409168</v>
      </c>
      <c r="I223" s="202">
        <f t="shared" ref="I223:K223" si="340">-I222/I220</f>
        <v>0.222712562518388</v>
      </c>
      <c r="J223" s="202">
        <f t="shared" si="340"/>
        <v>0.280631276901004</v>
      </c>
      <c r="K223" s="202">
        <f t="shared" si="340"/>
        <v>0.292592592592592</v>
      </c>
      <c r="L223" s="16"/>
      <c r="M223" s="16">
        <f t="shared" ref="M223:N223" si="341">-M222/M220</f>
        <v>0.240811848601207</v>
      </c>
      <c r="N223" s="16">
        <f t="shared" si="341"/>
        <v>0.369872457773182</v>
      </c>
      <c r="O223" s="202">
        <f t="shared" ref="O223" si="342">-O222/O220</f>
        <v>0.297999083549717</v>
      </c>
      <c r="P223" s="16"/>
      <c r="Q223" s="16">
        <f t="shared" ref="Q223:S223" si="343">-Q222/Q220</f>
        <v>0.274983232729712</v>
      </c>
      <c r="R223" s="16">
        <f t="shared" si="343"/>
        <v>0.70132625994695</v>
      </c>
      <c r="S223" s="202">
        <f t="shared" si="343"/>
        <v>0.440106841997123</v>
      </c>
      <c r="T223" s="16"/>
      <c r="U223" s="16">
        <f t="shared" ref="U223:W223" si="344">-U222/U220</f>
        <v>0.271981905569692</v>
      </c>
      <c r="V223" s="16">
        <f t="shared" si="344"/>
        <v>0.240437158469945</v>
      </c>
      <c r="W223" s="202">
        <f t="shared" si="344"/>
        <v>0.254191321499014</v>
      </c>
      <c r="X223" s="16"/>
      <c r="Y223" s="16">
        <f t="shared" ref="Y223:Z223" si="345">-Y222/Y220</f>
        <v>0.586698337292162</v>
      </c>
      <c r="Z223" s="16">
        <f t="shared" si="345"/>
        <v>0.181127837361273</v>
      </c>
      <c r="AA223" s="202">
        <f>W223</f>
        <v>0.254191321499014</v>
      </c>
      <c r="AB223" s="202">
        <f>AA223</f>
        <v>0.254191321499014</v>
      </c>
      <c r="AC223" s="202">
        <f t="shared" ref="AC223:AF223" si="346">AB223</f>
        <v>0.254191321499014</v>
      </c>
      <c r="AD223" s="202">
        <f t="shared" si="346"/>
        <v>0.254191321499014</v>
      </c>
      <c r="AE223" s="202">
        <f t="shared" si="346"/>
        <v>0.254191321499014</v>
      </c>
      <c r="AF223" s="202">
        <f t="shared" si="346"/>
        <v>0.254191321499014</v>
      </c>
    </row>
    <row r="224" ht="18.5" spans="3:32">
      <c r="C224" s="2"/>
      <c r="D224" s="2"/>
      <c r="E224" s="334"/>
      <c r="F224" s="334"/>
      <c r="G224" s="334"/>
      <c r="H224" s="334"/>
      <c r="I224" s="334"/>
      <c r="J224" s="221"/>
      <c r="K224" s="221"/>
      <c r="L224" s="65"/>
      <c r="M224" s="65"/>
      <c r="N224" s="65"/>
      <c r="O224" s="221"/>
      <c r="P224" s="65"/>
      <c r="Q224" s="65"/>
      <c r="R224" s="65"/>
      <c r="S224" s="221"/>
      <c r="T224" s="65"/>
      <c r="U224" s="65"/>
      <c r="V224" s="65"/>
      <c r="W224" s="204"/>
      <c r="X224" s="110"/>
      <c r="Y224" s="110"/>
      <c r="Z224" s="110"/>
      <c r="AA224" s="193"/>
      <c r="AB224" s="193"/>
      <c r="AC224" s="193"/>
      <c r="AD224" s="193"/>
      <c r="AE224" s="193"/>
      <c r="AF224" s="193"/>
    </row>
    <row r="225" s="151" customFormat="1" ht="18.5" spans="3:32">
      <c r="C225" s="8" t="s">
        <v>196</v>
      </c>
      <c r="D225" s="8"/>
      <c r="E225" s="201">
        <f t="shared" ref="E225:H225" si="347">E220+E222</f>
        <v>69.755</v>
      </c>
      <c r="F225" s="201">
        <f t="shared" si="347"/>
        <v>100.63</v>
      </c>
      <c r="G225" s="201">
        <f t="shared" si="347"/>
        <v>184.612</v>
      </c>
      <c r="H225" s="201">
        <f t="shared" si="347"/>
        <v>236.4</v>
      </c>
      <c r="I225" s="201">
        <f t="shared" ref="I225:J225" si="348">I220+I222</f>
        <v>264.2</v>
      </c>
      <c r="J225" s="201">
        <f t="shared" si="348"/>
        <v>250.7</v>
      </c>
      <c r="K225" s="201">
        <f t="shared" ref="K225" si="349">K220+K222</f>
        <v>229.2</v>
      </c>
      <c r="L225" s="109"/>
      <c r="M225" s="109">
        <f t="shared" ref="M225:N225" si="350">M220+M222</f>
        <v>276.8</v>
      </c>
      <c r="N225" s="109">
        <f t="shared" si="350"/>
        <v>182.8</v>
      </c>
      <c r="O225" s="201">
        <f t="shared" ref="O225" si="351">O220+O222</f>
        <v>459.6</v>
      </c>
      <c r="P225" s="109"/>
      <c r="Q225" s="109">
        <f t="shared" ref="Q225:S225" si="352">Q220+Q222</f>
        <v>216.2</v>
      </c>
      <c r="R225" s="109">
        <f t="shared" si="352"/>
        <v>56.3</v>
      </c>
      <c r="S225" s="201">
        <f t="shared" si="352"/>
        <v>272.5</v>
      </c>
      <c r="T225" s="109"/>
      <c r="U225" s="109">
        <f t="shared" ref="U225:W225" si="353">U220+U222</f>
        <v>257.5</v>
      </c>
      <c r="V225" s="109">
        <f t="shared" si="353"/>
        <v>347.500000000001</v>
      </c>
      <c r="W225" s="201">
        <f t="shared" si="353"/>
        <v>605</v>
      </c>
      <c r="X225" s="109"/>
      <c r="Y225" s="109">
        <f t="shared" ref="Y225:AA225" si="354">Y220+Y222</f>
        <v>52.1999999999999</v>
      </c>
      <c r="Z225" s="109">
        <f t="shared" si="354"/>
        <v>470.673658067061</v>
      </c>
      <c r="AA225" s="201">
        <f t="shared" si="354"/>
        <v>522.873658067061</v>
      </c>
      <c r="AB225" s="201">
        <f t="shared" ref="AB225:AF225" si="355">AB220+AB222</f>
        <v>579.479904376953</v>
      </c>
      <c r="AC225" s="201">
        <f t="shared" si="355"/>
        <v>615.590700449674</v>
      </c>
      <c r="AD225" s="201">
        <f t="shared" si="355"/>
        <v>648.811525244466</v>
      </c>
      <c r="AE225" s="201">
        <f t="shared" si="355"/>
        <v>678.254211627899</v>
      </c>
      <c r="AF225" s="201">
        <f t="shared" si="355"/>
        <v>702.341444979031</v>
      </c>
    </row>
    <row r="226" ht="18.5" spans="3:32">
      <c r="C226" s="2" t="s">
        <v>197</v>
      </c>
      <c r="D226" s="2"/>
      <c r="E226" s="334">
        <v>-15.784</v>
      </c>
      <c r="F226" s="334">
        <v>0</v>
      </c>
      <c r="G226" s="334">
        <v>0</v>
      </c>
      <c r="H226" s="334">
        <v>0</v>
      </c>
      <c r="I226" s="334">
        <v>0</v>
      </c>
      <c r="J226" s="334">
        <v>0</v>
      </c>
      <c r="K226" s="334">
        <v>0</v>
      </c>
      <c r="L226" s="65"/>
      <c r="M226" s="65">
        <v>0</v>
      </c>
      <c r="N226" s="65">
        <v>0</v>
      </c>
      <c r="O226" s="334">
        <v>0</v>
      </c>
      <c r="P226" s="65"/>
      <c r="Q226" s="65">
        <v>0</v>
      </c>
      <c r="R226" s="65">
        <v>0</v>
      </c>
      <c r="S226" s="221">
        <v>0</v>
      </c>
      <c r="T226" s="65"/>
      <c r="U226" s="65">
        <v>0</v>
      </c>
      <c r="V226" s="65">
        <v>0</v>
      </c>
      <c r="W226" s="221">
        <v>0</v>
      </c>
      <c r="X226" s="65"/>
      <c r="Y226" s="65">
        <v>0</v>
      </c>
      <c r="Z226" s="65">
        <v>0</v>
      </c>
      <c r="AA226" s="193">
        <v>0</v>
      </c>
      <c r="AB226" s="193">
        <v>0</v>
      </c>
      <c r="AC226" s="193">
        <v>0</v>
      </c>
      <c r="AD226" s="193">
        <v>0</v>
      </c>
      <c r="AE226" s="193">
        <v>0</v>
      </c>
      <c r="AF226" s="193">
        <v>0</v>
      </c>
    </row>
    <row r="227" s="151" customFormat="1" ht="18.5" spans="3:32">
      <c r="C227" s="8" t="s">
        <v>198</v>
      </c>
      <c r="D227" s="8"/>
      <c r="E227" s="201">
        <f>E225+E226</f>
        <v>53.971</v>
      </c>
      <c r="F227" s="201">
        <f>F225+F226</f>
        <v>100.63</v>
      </c>
      <c r="G227" s="201">
        <f>G225+G226</f>
        <v>184.612</v>
      </c>
      <c r="H227" s="201">
        <f>H225+H226</f>
        <v>236.4</v>
      </c>
      <c r="I227" s="201">
        <f t="shared" ref="I227:K227" si="356">I225+I226</f>
        <v>264.2</v>
      </c>
      <c r="J227" s="201">
        <f t="shared" si="356"/>
        <v>250.7</v>
      </c>
      <c r="K227" s="201">
        <f t="shared" si="356"/>
        <v>229.2</v>
      </c>
      <c r="L227" s="109"/>
      <c r="M227" s="109">
        <f t="shared" ref="M227:N227" si="357">M225-M226</f>
        <v>276.8</v>
      </c>
      <c r="N227" s="109">
        <f t="shared" si="357"/>
        <v>182.8</v>
      </c>
      <c r="O227" s="201">
        <f t="shared" ref="O227" si="358">O225+O226</f>
        <v>459.6</v>
      </c>
      <c r="P227" s="109"/>
      <c r="Q227" s="109">
        <f t="shared" ref="Q227:R227" si="359">Q225-Q226</f>
        <v>216.2</v>
      </c>
      <c r="R227" s="109">
        <f t="shared" si="359"/>
        <v>56.3</v>
      </c>
      <c r="S227" s="201">
        <f t="shared" ref="S227:W227" si="360">S225-S226</f>
        <v>272.5</v>
      </c>
      <c r="T227" s="109"/>
      <c r="U227" s="109">
        <f t="shared" ref="U227:V227" si="361">U225-U226</f>
        <v>257.5</v>
      </c>
      <c r="V227" s="109">
        <f t="shared" si="361"/>
        <v>347.500000000001</v>
      </c>
      <c r="W227" s="201">
        <f t="shared" si="360"/>
        <v>605</v>
      </c>
      <c r="X227" s="109"/>
      <c r="Y227" s="109">
        <f t="shared" ref="Y227:Z227" si="362">Y225-Y226</f>
        <v>52.1999999999999</v>
      </c>
      <c r="Z227" s="109">
        <f t="shared" si="362"/>
        <v>470.673658067061</v>
      </c>
      <c r="AA227" s="201">
        <f t="shared" ref="AA227:AF227" si="363">AA225-AA226</f>
        <v>522.873658067061</v>
      </c>
      <c r="AB227" s="201">
        <f t="shared" si="363"/>
        <v>579.479904376953</v>
      </c>
      <c r="AC227" s="201">
        <f t="shared" si="363"/>
        <v>615.590700449674</v>
      </c>
      <c r="AD227" s="201">
        <f t="shared" si="363"/>
        <v>648.811525244466</v>
      </c>
      <c r="AE227" s="201">
        <f t="shared" si="363"/>
        <v>678.254211627899</v>
      </c>
      <c r="AF227" s="201">
        <f t="shared" si="363"/>
        <v>702.341444979031</v>
      </c>
    </row>
    <row r="228" ht="18.5" spans="3:32">
      <c r="C228" s="298" t="s">
        <v>40</v>
      </c>
      <c r="D228" s="298"/>
      <c r="E228" s="202">
        <f t="shared" ref="E228:K228" si="364">E227/E172</f>
        <v>0.0354546846023624</v>
      </c>
      <c r="F228" s="202">
        <f t="shared" si="364"/>
        <v>0.0552410668997152</v>
      </c>
      <c r="G228" s="202">
        <f t="shared" si="364"/>
        <v>0.0776104594946819</v>
      </c>
      <c r="H228" s="202">
        <f t="shared" si="364"/>
        <v>0.0747769975327387</v>
      </c>
      <c r="I228" s="202">
        <f t="shared" si="364"/>
        <v>0.0560006782822502</v>
      </c>
      <c r="J228" s="202">
        <f t="shared" si="364"/>
        <v>0.0410257249459973</v>
      </c>
      <c r="K228" s="202">
        <f t="shared" si="364"/>
        <v>0.037163750749923</v>
      </c>
      <c r="L228" s="16"/>
      <c r="M228" s="16">
        <f>M227/M172</f>
        <v>0.0712337227855269</v>
      </c>
      <c r="N228" s="16">
        <f>N227/N172</f>
        <v>0.0390832121782262</v>
      </c>
      <c r="O228" s="202">
        <f>O227/O172</f>
        <v>0.0536727782319281</v>
      </c>
      <c r="P228" s="16"/>
      <c r="Q228" s="16">
        <f>Q227/Q172</f>
        <v>0.048936170212766</v>
      </c>
      <c r="R228" s="16">
        <f>R227/R172</f>
        <v>0.00986507797441738</v>
      </c>
      <c r="S228" s="202">
        <f>S227/S172</f>
        <v>0.0269135802469136</v>
      </c>
      <c r="T228" s="16"/>
      <c r="U228" s="16">
        <f>U227/U172</f>
        <v>0.0538263759693973</v>
      </c>
      <c r="V228" s="16">
        <f>V227/V172</f>
        <v>0.0603497681526894</v>
      </c>
      <c r="W228" s="202">
        <f>W227/W172</f>
        <v>0.057389489660406</v>
      </c>
      <c r="X228" s="16"/>
      <c r="Y228" s="16">
        <f>Y227/Y172</f>
        <v>0.0103731966138071</v>
      </c>
      <c r="Z228" s="16">
        <f>Z227/Z172</f>
        <v>0.0692183072570265</v>
      </c>
      <c r="AA228" s="202">
        <f>AA227/AA172</f>
        <v>0.044191323095054</v>
      </c>
      <c r="AB228" s="202">
        <f t="shared" ref="AB228:AF228" si="365">AB227/AB172</f>
        <v>0.0455465713346712</v>
      </c>
      <c r="AC228" s="202">
        <f t="shared" si="365"/>
        <v>0.0459712570544718</v>
      </c>
      <c r="AD228" s="202">
        <f t="shared" si="365"/>
        <v>0.0463465502090328</v>
      </c>
      <c r="AE228" s="202">
        <f t="shared" si="365"/>
        <v>0.0466809983627418</v>
      </c>
      <c r="AF228" s="202">
        <f t="shared" si="365"/>
        <v>0.0469326101567242</v>
      </c>
    </row>
    <row r="229" ht="18.5" spans="3:32">
      <c r="C229" s="292" t="s">
        <v>18</v>
      </c>
      <c r="D229" s="292"/>
      <c r="E229" s="270" t="s">
        <v>122</v>
      </c>
      <c r="F229" s="202">
        <f t="shared" ref="F229:K229" si="366">F227/E227-1</f>
        <v>0.864519834726056</v>
      </c>
      <c r="G229" s="202">
        <f t="shared" si="366"/>
        <v>0.834562257776011</v>
      </c>
      <c r="H229" s="202">
        <f t="shared" si="366"/>
        <v>0.280523476263733</v>
      </c>
      <c r="I229" s="202">
        <f t="shared" si="366"/>
        <v>0.117597292724195</v>
      </c>
      <c r="J229" s="202">
        <f t="shared" si="366"/>
        <v>-0.051097653292959</v>
      </c>
      <c r="K229" s="202">
        <f t="shared" si="366"/>
        <v>-0.085759872357399</v>
      </c>
      <c r="L229" s="16"/>
      <c r="M229" s="16"/>
      <c r="N229" s="16"/>
      <c r="O229" s="202">
        <f>O227/K227-1</f>
        <v>1.00523560209424</v>
      </c>
      <c r="P229" s="16"/>
      <c r="Q229" s="312">
        <f>Q227/M227-1</f>
        <v>-0.218930635838151</v>
      </c>
      <c r="R229" s="312">
        <f>R227/N227-1</f>
        <v>-0.692013129102844</v>
      </c>
      <c r="S229" s="202">
        <f>S227/O227-1</f>
        <v>-0.407093124456049</v>
      </c>
      <c r="T229" s="16"/>
      <c r="U229" s="312">
        <f>U227/Q227-1</f>
        <v>0.191026827012025</v>
      </c>
      <c r="V229" s="312">
        <f>V227/R227-1</f>
        <v>5.17229129662523</v>
      </c>
      <c r="W229" s="202">
        <f>W227/S227-1</f>
        <v>1.22018348623853</v>
      </c>
      <c r="X229" s="16"/>
      <c r="Y229" s="312">
        <f>Y227/U227-1</f>
        <v>-0.797281553398059</v>
      </c>
      <c r="Z229" s="312">
        <f>Z227/V227-1</f>
        <v>0.354456569977151</v>
      </c>
      <c r="AA229" s="202">
        <f>AA227/W227-1</f>
        <v>-0.135746019723867</v>
      </c>
      <c r="AB229" s="202">
        <f>AB227/AA227-1</f>
        <v>0.108259893067003</v>
      </c>
      <c r="AC229" s="202">
        <f t="shared" ref="AC229:AF229" si="367">AC227/AB227-1</f>
        <v>0.0623158729059747</v>
      </c>
      <c r="AD229" s="202">
        <f t="shared" si="367"/>
        <v>0.0539657677910417</v>
      </c>
      <c r="AE229" s="202">
        <f t="shared" si="367"/>
        <v>0.0453794133393979</v>
      </c>
      <c r="AF229" s="202">
        <f t="shared" si="367"/>
        <v>0.0355135772667285</v>
      </c>
    </row>
    <row r="230" ht="18.5" spans="3:32">
      <c r="C230" s="292" t="s">
        <v>126</v>
      </c>
      <c r="D230" s="292"/>
      <c r="E230" s="268" t="s">
        <v>122</v>
      </c>
      <c r="F230" s="337">
        <f>(F228-E228)*10000</f>
        <v>197.863822973528</v>
      </c>
      <c r="G230" s="337">
        <f>(G228-F228)*10000</f>
        <v>223.693925949668</v>
      </c>
      <c r="H230" s="337">
        <f>(H228-G228)*10000</f>
        <v>-28.3346196194322</v>
      </c>
      <c r="I230" s="337">
        <f t="shared" ref="I230:K230" si="368">(I228-H228)*10000</f>
        <v>-187.763192504885</v>
      </c>
      <c r="J230" s="337">
        <f t="shared" si="368"/>
        <v>-149.749533362529</v>
      </c>
      <c r="K230" s="337">
        <f t="shared" si="368"/>
        <v>-38.6197419607427</v>
      </c>
      <c r="L230" s="40"/>
      <c r="M230" s="40"/>
      <c r="N230" s="40"/>
      <c r="O230" s="337">
        <f>(O228-K228)*10000</f>
        <v>165.09027482005</v>
      </c>
      <c r="P230" s="40"/>
      <c r="Q230" s="313">
        <f>(Q228-M228)*10000</f>
        <v>-222.975525727609</v>
      </c>
      <c r="R230" s="313">
        <f>(R228-N228)*10000</f>
        <v>-292.181342038089</v>
      </c>
      <c r="S230" s="337">
        <f>(S228-O228)*10000</f>
        <v>-267.591979850145</v>
      </c>
      <c r="T230" s="40"/>
      <c r="U230" s="313">
        <f>(U228-Q228)*10000</f>
        <v>48.9020575663135</v>
      </c>
      <c r="V230" s="313">
        <f>(V228-R228)*10000</f>
        <v>504.84690178272</v>
      </c>
      <c r="W230" s="337">
        <f>(W228-S228)*10000</f>
        <v>304.759094134925</v>
      </c>
      <c r="X230" s="40"/>
      <c r="Y230" s="313">
        <f>(Y228-U228)*10000</f>
        <v>-434.531793555902</v>
      </c>
      <c r="Z230" s="313">
        <f>(Z228-V228)*10000</f>
        <v>88.6853910433713</v>
      </c>
      <c r="AA230" s="337">
        <f>(AA228-W228)*10000</f>
        <v>-131.98166565352</v>
      </c>
      <c r="AB230" s="204">
        <f>(AB228-AA228)*10000</f>
        <v>13.5524823961712</v>
      </c>
      <c r="AC230" s="204">
        <f t="shared" ref="AC230:AF230" si="369">(AC228-AB228)*10000</f>
        <v>4.24685719800602</v>
      </c>
      <c r="AD230" s="204">
        <f t="shared" si="369"/>
        <v>3.75293154561071</v>
      </c>
      <c r="AE230" s="204">
        <f t="shared" si="369"/>
        <v>3.34448153708991</v>
      </c>
      <c r="AF230" s="204">
        <f t="shared" si="369"/>
        <v>2.51611793982365</v>
      </c>
    </row>
    <row r="231" ht="18.5" spans="5:32">
      <c r="E231" s="188"/>
      <c r="F231" s="188"/>
      <c r="G231" s="188"/>
      <c r="H231" s="188"/>
      <c r="I231" s="188"/>
      <c r="J231" s="188"/>
      <c r="K231" s="188"/>
      <c r="O231" s="188"/>
      <c r="S231" s="188"/>
      <c r="W231" s="188"/>
      <c r="AA231" s="193"/>
      <c r="AB231" s="193"/>
      <c r="AC231" s="193"/>
      <c r="AD231" s="193"/>
      <c r="AE231" s="193"/>
      <c r="AF231" s="193"/>
    </row>
    <row r="232" ht="18.5" spans="3:32">
      <c r="C232" s="11"/>
      <c r="D232" s="11"/>
      <c r="E232" s="338"/>
      <c r="F232" s="338"/>
      <c r="G232" s="338"/>
      <c r="H232" s="338"/>
      <c r="I232" s="347"/>
      <c r="J232" s="347"/>
      <c r="K232" s="347"/>
      <c r="L232" s="10"/>
      <c r="M232" s="10"/>
      <c r="N232" s="10"/>
      <c r="O232" s="347"/>
      <c r="P232" s="10"/>
      <c r="Q232" s="10"/>
      <c r="R232" s="10"/>
      <c r="S232" s="347"/>
      <c r="T232" s="10"/>
      <c r="U232" s="10"/>
      <c r="V232" s="10"/>
      <c r="W232" s="288"/>
      <c r="X232" s="17"/>
      <c r="Y232" s="17"/>
      <c r="Z232" s="17"/>
      <c r="AA232" s="193"/>
      <c r="AB232" s="193"/>
      <c r="AC232" s="193"/>
      <c r="AD232" s="193"/>
      <c r="AE232" s="193"/>
      <c r="AF232" s="193"/>
    </row>
    <row r="233" s="151" customFormat="1" ht="18.5" spans="3:43">
      <c r="C233" s="8" t="s">
        <v>199</v>
      </c>
      <c r="D233" s="198"/>
      <c r="E233" s="201">
        <v>52.677</v>
      </c>
      <c r="F233" s="201">
        <v>97.634</v>
      </c>
      <c r="G233" s="201">
        <v>178.9</v>
      </c>
      <c r="H233" s="201">
        <v>231.9</v>
      </c>
      <c r="I233" s="201">
        <v>261.8</v>
      </c>
      <c r="J233" s="201">
        <v>246.1</v>
      </c>
      <c r="K233" s="201">
        <v>224.3</v>
      </c>
      <c r="L233" s="10"/>
      <c r="M233" s="10">
        <v>228.7</v>
      </c>
      <c r="N233" s="10">
        <f>O233-M233</f>
        <v>141</v>
      </c>
      <c r="O233" s="219">
        <v>369.7</v>
      </c>
      <c r="P233" s="10"/>
      <c r="Q233" s="10">
        <v>184.5</v>
      </c>
      <c r="R233" s="10">
        <f>S233-Q233</f>
        <v>3.80000000000001</v>
      </c>
      <c r="S233" s="219">
        <v>188.3</v>
      </c>
      <c r="T233" s="10"/>
      <c r="U233" s="10">
        <v>218.4</v>
      </c>
      <c r="V233" s="10">
        <f>W233-U233</f>
        <v>320.4</v>
      </c>
      <c r="W233" s="201">
        <v>538.8</v>
      </c>
      <c r="X233" s="17"/>
      <c r="Y233" s="17">
        <v>21.8</v>
      </c>
      <c r="Z233" s="10">
        <f>AA233-Y233</f>
        <v>422.642609357002</v>
      </c>
      <c r="AA233" s="201">
        <f>AA227*AA234</f>
        <v>444.442609357002</v>
      </c>
      <c r="AB233" s="201">
        <f t="shared" ref="AB233:AF233" si="370">AB227*AB234</f>
        <v>521.531913939258</v>
      </c>
      <c r="AC233" s="201">
        <f t="shared" si="370"/>
        <v>554.031630404706</v>
      </c>
      <c r="AD233" s="201">
        <f t="shared" si="370"/>
        <v>583.930372720019</v>
      </c>
      <c r="AE233" s="201">
        <f t="shared" si="370"/>
        <v>610.428790465109</v>
      </c>
      <c r="AF233" s="201">
        <f t="shared" si="370"/>
        <v>632.107300481128</v>
      </c>
      <c r="AP233" s="363"/>
      <c r="AQ233" s="364"/>
    </row>
    <row r="234" ht="18.5" spans="3:32">
      <c r="C234" s="2" t="s">
        <v>200</v>
      </c>
      <c r="D234" s="11"/>
      <c r="E234" s="202">
        <f>E233/E227</f>
        <v>0.976024161123566</v>
      </c>
      <c r="F234" s="202">
        <f t="shared" ref="F234:K234" si="371">F233/F227</f>
        <v>0.970227566332108</v>
      </c>
      <c r="G234" s="202">
        <f t="shared" si="371"/>
        <v>0.969059432756268</v>
      </c>
      <c r="H234" s="202">
        <f t="shared" si="371"/>
        <v>0.980964467005075</v>
      </c>
      <c r="I234" s="202">
        <f t="shared" si="371"/>
        <v>0.990915972747918</v>
      </c>
      <c r="J234" s="202">
        <f t="shared" si="371"/>
        <v>0.981651376146788</v>
      </c>
      <c r="K234" s="202">
        <f t="shared" si="371"/>
        <v>0.978621291448516</v>
      </c>
      <c r="L234" s="10"/>
      <c r="M234" s="28">
        <f>M233/M227</f>
        <v>0.826228323699421</v>
      </c>
      <c r="N234" s="28">
        <f>N233/N227</f>
        <v>0.771334792122539</v>
      </c>
      <c r="O234" s="202">
        <f t="shared" ref="O234" si="372">O233/O227</f>
        <v>0.804395126196693</v>
      </c>
      <c r="P234" s="10"/>
      <c r="Q234" s="28">
        <f>Q233/Q227</f>
        <v>0.853376503237743</v>
      </c>
      <c r="R234" s="28">
        <f>R233/R227</f>
        <v>0.0674955595026645</v>
      </c>
      <c r="S234" s="202">
        <f t="shared" ref="S234" si="373">S233/S227</f>
        <v>0.691009174311927</v>
      </c>
      <c r="T234" s="10"/>
      <c r="U234" s="28">
        <f>U233/U227</f>
        <v>0.848155339805826</v>
      </c>
      <c r="V234" s="28">
        <f>V233/V227</f>
        <v>0.922014388489207</v>
      </c>
      <c r="W234" s="202">
        <f t="shared" ref="W234" si="374">W233/W227</f>
        <v>0.890578512396693</v>
      </c>
      <c r="X234" s="17"/>
      <c r="Y234" s="28">
        <f>Y233/Y227</f>
        <v>0.417624521072798</v>
      </c>
      <c r="Z234" s="28">
        <f>Z233/Z227</f>
        <v>0.897952545491263</v>
      </c>
      <c r="AA234" s="202">
        <v>0.85</v>
      </c>
      <c r="AB234" s="202">
        <v>0.9</v>
      </c>
      <c r="AC234" s="202">
        <v>0.9</v>
      </c>
      <c r="AD234" s="202">
        <v>0.9</v>
      </c>
      <c r="AE234" s="202">
        <v>0.9</v>
      </c>
      <c r="AF234" s="202">
        <v>0.9</v>
      </c>
    </row>
    <row r="235" ht="18.5" spans="3:32">
      <c r="C235" s="2" t="s">
        <v>201</v>
      </c>
      <c r="D235" s="11"/>
      <c r="E235" s="204">
        <v>1.294</v>
      </c>
      <c r="F235" s="204">
        <v>2.996</v>
      </c>
      <c r="G235" s="204">
        <v>5.7</v>
      </c>
      <c r="H235" s="204">
        <v>4.5</v>
      </c>
      <c r="I235" s="204">
        <v>2.4</v>
      </c>
      <c r="J235" s="204">
        <v>4.6</v>
      </c>
      <c r="K235" s="204">
        <v>4.9</v>
      </c>
      <c r="L235" s="10"/>
      <c r="M235" s="9">
        <v>48.1</v>
      </c>
      <c r="N235" s="9">
        <f>O235-M235</f>
        <v>41.8</v>
      </c>
      <c r="O235" s="348">
        <v>89.9</v>
      </c>
      <c r="P235" s="10"/>
      <c r="Q235" s="9">
        <v>48.1</v>
      </c>
      <c r="R235" s="9">
        <f>S235-Q235</f>
        <v>36.1</v>
      </c>
      <c r="S235" s="348">
        <v>84.2</v>
      </c>
      <c r="T235" s="10"/>
      <c r="U235" s="9">
        <v>39.1</v>
      </c>
      <c r="V235" s="9">
        <f>W235-U235</f>
        <v>27.1</v>
      </c>
      <c r="W235" s="289">
        <v>66.2</v>
      </c>
      <c r="X235" s="17"/>
      <c r="Y235" s="12">
        <v>30.4</v>
      </c>
      <c r="Z235" s="9">
        <f>AA235-Y235</f>
        <v>35.8</v>
      </c>
      <c r="AA235" s="289">
        <f>W235</f>
        <v>66.2</v>
      </c>
      <c r="AB235" s="289">
        <v>80</v>
      </c>
      <c r="AC235" s="289">
        <v>80</v>
      </c>
      <c r="AD235" s="289">
        <v>80</v>
      </c>
      <c r="AE235" s="289">
        <v>80</v>
      </c>
      <c r="AF235" s="289">
        <v>80</v>
      </c>
    </row>
    <row r="236" ht="18.5" spans="3:32">
      <c r="C236" s="11"/>
      <c r="D236" s="11"/>
      <c r="E236" s="338"/>
      <c r="F236" s="338"/>
      <c r="G236" s="338"/>
      <c r="H236" s="338"/>
      <c r="I236" s="347"/>
      <c r="J236" s="347"/>
      <c r="K236" s="347"/>
      <c r="L236" s="10"/>
      <c r="M236" s="10"/>
      <c r="N236" s="10"/>
      <c r="O236" s="347"/>
      <c r="P236" s="10"/>
      <c r="Q236" s="10"/>
      <c r="R236" s="10"/>
      <c r="S236" s="347"/>
      <c r="T236" s="10"/>
      <c r="U236" s="10"/>
      <c r="V236" s="10"/>
      <c r="W236" s="288"/>
      <c r="X236" s="17"/>
      <c r="Y236" s="17"/>
      <c r="Z236" s="17"/>
      <c r="AA236" s="193"/>
      <c r="AB236" s="193"/>
      <c r="AC236" s="193"/>
      <c r="AD236" s="193"/>
      <c r="AE236" s="193"/>
      <c r="AF236" s="193"/>
    </row>
    <row r="237" ht="18.5" spans="3:32">
      <c r="C237" s="2" t="s">
        <v>202</v>
      </c>
      <c r="D237" s="2"/>
      <c r="E237" s="339">
        <v>194.646632</v>
      </c>
      <c r="F237" s="339">
        <v>194.646</v>
      </c>
      <c r="G237" s="339">
        <v>973.23316</v>
      </c>
      <c r="H237" s="339">
        <v>973.23316</v>
      </c>
      <c r="I237" s="339">
        <v>973.23316</v>
      </c>
      <c r="J237" s="339">
        <v>973.23316</v>
      </c>
      <c r="K237" s="339">
        <v>4866.1658</v>
      </c>
      <c r="L237" s="349"/>
      <c r="M237" s="349">
        <v>5158.2</v>
      </c>
      <c r="N237" s="349">
        <f>O237</f>
        <v>5158.135745</v>
      </c>
      <c r="O237" s="339">
        <v>5158.135745</v>
      </c>
      <c r="P237" s="349"/>
      <c r="Q237" s="349">
        <v>5158.2</v>
      </c>
      <c r="R237" s="349">
        <f>S237</f>
        <v>5158.497877</v>
      </c>
      <c r="S237" s="339">
        <v>5158.497877</v>
      </c>
      <c r="T237" s="349"/>
      <c r="U237" s="349">
        <v>5158.497877</v>
      </c>
      <c r="V237" s="349">
        <f>W237</f>
        <v>5183.135745</v>
      </c>
      <c r="W237" s="339">
        <v>5183.135745</v>
      </c>
      <c r="X237" s="349"/>
      <c r="Y237" s="349">
        <v>5183.135745</v>
      </c>
      <c r="Z237" s="349">
        <f>AA237</f>
        <v>5183.135745</v>
      </c>
      <c r="AA237" s="279">
        <f>Y237</f>
        <v>5183.135745</v>
      </c>
      <c r="AB237" s="279">
        <f>AA237</f>
        <v>5183.135745</v>
      </c>
      <c r="AC237" s="279">
        <f t="shared" ref="AC237:AF237" si="375">AB237</f>
        <v>5183.135745</v>
      </c>
      <c r="AD237" s="279">
        <f t="shared" si="375"/>
        <v>5183.135745</v>
      </c>
      <c r="AE237" s="279">
        <f t="shared" si="375"/>
        <v>5183.135745</v>
      </c>
      <c r="AF237" s="279">
        <f t="shared" si="375"/>
        <v>5183.135745</v>
      </c>
    </row>
    <row r="238" s="151" customFormat="1" ht="18.5" spans="3:32">
      <c r="C238" s="8" t="s">
        <v>36</v>
      </c>
      <c r="D238" s="8"/>
      <c r="E238" s="339">
        <v>194.646632</v>
      </c>
      <c r="F238" s="339">
        <v>194.646</v>
      </c>
      <c r="G238" s="339">
        <v>973.23316</v>
      </c>
      <c r="H238" s="339">
        <v>973.23316</v>
      </c>
      <c r="I238" s="339">
        <v>973.23316</v>
      </c>
      <c r="J238" s="339">
        <v>973.23316</v>
      </c>
      <c r="K238" s="339">
        <v>4866.1658</v>
      </c>
      <c r="L238" s="350"/>
      <c r="M238" s="349">
        <v>5158.1</v>
      </c>
      <c r="N238" s="349">
        <f>O238</f>
        <v>5158.135745</v>
      </c>
      <c r="O238" s="339">
        <v>5158.135745</v>
      </c>
      <c r="P238" s="350"/>
      <c r="Q238" s="349">
        <v>5158.2</v>
      </c>
      <c r="R238" s="349">
        <f>S238</f>
        <v>5158.497877</v>
      </c>
      <c r="S238" s="339">
        <v>5158.497877</v>
      </c>
      <c r="T238" s="350"/>
      <c r="U238" s="349">
        <v>5158.497877</v>
      </c>
      <c r="V238" s="349">
        <f>W238</f>
        <v>5183.135745</v>
      </c>
      <c r="W238" s="339">
        <v>5183.135745</v>
      </c>
      <c r="X238" s="350"/>
      <c r="Y238" s="349">
        <v>5183.135745</v>
      </c>
      <c r="Z238" s="349">
        <f>AA238</f>
        <v>5183.135745</v>
      </c>
      <c r="AA238" s="279">
        <f>Y238</f>
        <v>5183.135745</v>
      </c>
      <c r="AB238" s="279">
        <f>AA238</f>
        <v>5183.135745</v>
      </c>
      <c r="AC238" s="279">
        <f t="shared" ref="AC238:AF238" si="376">AB238</f>
        <v>5183.135745</v>
      </c>
      <c r="AD238" s="279">
        <f t="shared" si="376"/>
        <v>5183.135745</v>
      </c>
      <c r="AE238" s="279">
        <f t="shared" si="376"/>
        <v>5183.135745</v>
      </c>
      <c r="AF238" s="279">
        <f t="shared" si="376"/>
        <v>5183.135745</v>
      </c>
    </row>
    <row r="239" ht="18.5" spans="3:32">
      <c r="C239" s="292" t="s">
        <v>18</v>
      </c>
      <c r="D239" s="292"/>
      <c r="E239" s="270" t="s">
        <v>122</v>
      </c>
      <c r="F239" s="202">
        <f>F238/E238-1</f>
        <v>-3.24690950737061e-6</v>
      </c>
      <c r="G239" s="202">
        <f t="shared" ref="G239:K239" si="377">G238/F238-1</f>
        <v>4.00001623460025</v>
      </c>
      <c r="H239" s="202">
        <f t="shared" si="377"/>
        <v>0</v>
      </c>
      <c r="I239" s="202">
        <f t="shared" si="377"/>
        <v>0</v>
      </c>
      <c r="J239" s="202">
        <f t="shared" si="377"/>
        <v>0</v>
      </c>
      <c r="K239" s="202">
        <f t="shared" si="377"/>
        <v>4</v>
      </c>
      <c r="L239" s="16"/>
      <c r="M239" s="16"/>
      <c r="N239" s="16"/>
      <c r="O239" s="202">
        <f>O238/K238-1</f>
        <v>0.0599999993834981</v>
      </c>
      <c r="P239" s="16"/>
      <c r="Q239" s="16">
        <f>Q238/M238-1</f>
        <v>1.93869835791727e-5</v>
      </c>
      <c r="R239" s="16">
        <f>R238/N238-1</f>
        <v>7.02059848562975e-5</v>
      </c>
      <c r="S239" s="202">
        <f>S238/O238-1</f>
        <v>7.02059848562975e-5</v>
      </c>
      <c r="T239" s="16"/>
      <c r="U239" s="16">
        <f>U238/Q238-1</f>
        <v>5.77482455119682e-5</v>
      </c>
      <c r="V239" s="16">
        <f>V238/R238-1</f>
        <v>0.00477617100703909</v>
      </c>
      <c r="W239" s="202">
        <f>W238/S238-1</f>
        <v>0.00477617100703909</v>
      </c>
      <c r="X239" s="16"/>
      <c r="Y239" s="16">
        <f>Y238/U238-1</f>
        <v>0.00477617100703909</v>
      </c>
      <c r="Z239" s="16">
        <f>Z238/V238-1</f>
        <v>0</v>
      </c>
      <c r="AA239" s="202">
        <f>AA238/W238-1</f>
        <v>0</v>
      </c>
      <c r="AB239" s="202">
        <f>AA239</f>
        <v>0</v>
      </c>
      <c r="AC239" s="202">
        <f t="shared" ref="AC239:AF239" si="378">AB239</f>
        <v>0</v>
      </c>
      <c r="AD239" s="202">
        <f t="shared" si="378"/>
        <v>0</v>
      </c>
      <c r="AE239" s="202">
        <f t="shared" si="378"/>
        <v>0</v>
      </c>
      <c r="AF239" s="202">
        <f t="shared" si="378"/>
        <v>0</v>
      </c>
    </row>
    <row r="240" ht="18.5" spans="3:32">
      <c r="C240" s="292" t="s">
        <v>203</v>
      </c>
      <c r="D240" s="292"/>
      <c r="E240" s="340" t="s">
        <v>122</v>
      </c>
      <c r="F240" s="279">
        <f>F238-E238</f>
        <v>-0.000632000000024391</v>
      </c>
      <c r="G240" s="279">
        <f t="shared" ref="G240:K240" si="379">G238-F238</f>
        <v>778.58716</v>
      </c>
      <c r="H240" s="279">
        <f t="shared" si="379"/>
        <v>0</v>
      </c>
      <c r="I240" s="279">
        <f t="shared" si="379"/>
        <v>0</v>
      </c>
      <c r="J240" s="279">
        <f t="shared" si="379"/>
        <v>0</v>
      </c>
      <c r="K240" s="279">
        <f t="shared" si="379"/>
        <v>3892.93264</v>
      </c>
      <c r="L240" s="39"/>
      <c r="M240" s="39"/>
      <c r="N240" s="39"/>
      <c r="O240" s="279">
        <f>O238-K238</f>
        <v>291.969945</v>
      </c>
      <c r="P240" s="39"/>
      <c r="Q240" s="39">
        <f>Q238-M238</f>
        <v>0.0999999999994543</v>
      </c>
      <c r="R240" s="39">
        <f>R238-N238</f>
        <v>0.362132000000202</v>
      </c>
      <c r="S240" s="279">
        <f>S238-O238</f>
        <v>0.362132000000202</v>
      </c>
      <c r="T240" s="39"/>
      <c r="U240" s="39">
        <f>U238-Q238</f>
        <v>0.297876999999971</v>
      </c>
      <c r="V240" s="39">
        <f>V238-R238</f>
        <v>24.6378679999998</v>
      </c>
      <c r="W240" s="279">
        <f>W238-S238</f>
        <v>24.6378679999998</v>
      </c>
      <c r="X240" s="39"/>
      <c r="Y240" s="39">
        <f>Y238-U238</f>
        <v>24.6378679999998</v>
      </c>
      <c r="Z240" s="39">
        <f>Z238-V238</f>
        <v>0</v>
      </c>
      <c r="AA240" s="279">
        <f>AA238-W238</f>
        <v>0</v>
      </c>
      <c r="AB240" s="279">
        <f>AA240</f>
        <v>0</v>
      </c>
      <c r="AC240" s="279">
        <f t="shared" ref="AC240:AF240" si="380">AB240</f>
        <v>0</v>
      </c>
      <c r="AD240" s="279">
        <f t="shared" si="380"/>
        <v>0</v>
      </c>
      <c r="AE240" s="279">
        <f t="shared" si="380"/>
        <v>0</v>
      </c>
      <c r="AF240" s="279">
        <f t="shared" si="380"/>
        <v>0</v>
      </c>
    </row>
    <row r="241" ht="18.5" spans="5:32">
      <c r="E241" s="188"/>
      <c r="F241" s="188"/>
      <c r="G241" s="188"/>
      <c r="H241" s="188"/>
      <c r="I241" s="188"/>
      <c r="J241" s="188"/>
      <c r="K241" s="188"/>
      <c r="O241" s="188"/>
      <c r="S241" s="188"/>
      <c r="W241" s="188"/>
      <c r="AA241" s="193"/>
      <c r="AB241" s="193"/>
      <c r="AC241" s="193"/>
      <c r="AD241" s="193"/>
      <c r="AE241" s="193"/>
      <c r="AF241" s="193"/>
    </row>
    <row r="242" s="151" customFormat="1" ht="18.5" spans="3:32">
      <c r="C242" s="127" t="s">
        <v>204</v>
      </c>
      <c r="D242" s="127"/>
      <c r="E242" s="341">
        <f>E225/E238</f>
        <v>0.358367361835472</v>
      </c>
      <c r="F242" s="341">
        <f>F233/F238</f>
        <v>0.501597772366244</v>
      </c>
      <c r="G242" s="341">
        <f>G233/G238</f>
        <v>0.183820288244186</v>
      </c>
      <c r="H242" s="341">
        <f t="shared" ref="H242:O242" si="381">H233/H238</f>
        <v>0.238277947701659</v>
      </c>
      <c r="I242" s="341">
        <f t="shared" si="381"/>
        <v>0.269000287659742</v>
      </c>
      <c r="J242" s="341">
        <f t="shared" si="381"/>
        <v>0.252868490424227</v>
      </c>
      <c r="K242" s="341">
        <f t="shared" si="381"/>
        <v>0.0460937849672118</v>
      </c>
      <c r="L242" s="341"/>
      <c r="M242" s="341">
        <f t="shared" si="381"/>
        <v>0.0443380314456874</v>
      </c>
      <c r="N242" s="341">
        <f t="shared" si="381"/>
        <v>0.0273354574153418</v>
      </c>
      <c r="O242" s="341">
        <f t="shared" si="381"/>
        <v>0.0716731816060417</v>
      </c>
      <c r="P242" s="341"/>
      <c r="Q242" s="341">
        <f t="shared" ref="Q242:S242" si="382">Q233/Q238</f>
        <v>0.0357682912643946</v>
      </c>
      <c r="R242" s="341">
        <f t="shared" si="382"/>
        <v>0.000736648553630879</v>
      </c>
      <c r="S242" s="341">
        <f t="shared" si="382"/>
        <v>0.0365028743812353</v>
      </c>
      <c r="T242" s="341"/>
      <c r="U242" s="341">
        <f t="shared" ref="U242:W242" si="383">U233/U238</f>
        <v>0.042337906345522</v>
      </c>
      <c r="V242" s="341">
        <f t="shared" si="383"/>
        <v>0.0618158612398063</v>
      </c>
      <c r="W242" s="341">
        <f t="shared" si="383"/>
        <v>0.103952515717876</v>
      </c>
      <c r="X242" s="341"/>
      <c r="Y242" s="341">
        <f t="shared" ref="Y242:AF242" si="384">Y233/Y238</f>
        <v>0.00420594811182203</v>
      </c>
      <c r="Z242" s="341">
        <f t="shared" si="384"/>
        <v>0.0815418754495695</v>
      </c>
      <c r="AA242" s="341">
        <f t="shared" si="384"/>
        <v>0.0857478235613915</v>
      </c>
      <c r="AB242" s="341">
        <f t="shared" si="384"/>
        <v>0.100620925169163</v>
      </c>
      <c r="AC242" s="341">
        <f t="shared" si="384"/>
        <v>0.106891205953686</v>
      </c>
      <c r="AD242" s="341">
        <f t="shared" si="384"/>
        <v>0.112659671953087</v>
      </c>
      <c r="AE242" s="341">
        <f t="shared" si="384"/>
        <v>0.117772101773327</v>
      </c>
      <c r="AF242" s="341">
        <f t="shared" si="384"/>
        <v>0.121954610409519</v>
      </c>
    </row>
    <row r="243" ht="18.5" spans="3:32">
      <c r="C243" s="2" t="s">
        <v>18</v>
      </c>
      <c r="D243" s="2"/>
      <c r="E243" s="342" t="s">
        <v>122</v>
      </c>
      <c r="F243" s="202">
        <f>F242/E242-1</f>
        <v>0.399674819149769</v>
      </c>
      <c r="G243" s="202">
        <f>G242/F242-1</f>
        <v>-0.633530493213657</v>
      </c>
      <c r="H243" s="202">
        <f t="shared" ref="H243:K243" si="385">H242/G242-1</f>
        <v>0.296254891000559</v>
      </c>
      <c r="I243" s="202">
        <f t="shared" si="385"/>
        <v>0.128934885726606</v>
      </c>
      <c r="J243" s="202">
        <f t="shared" si="385"/>
        <v>-0.0599694423223835</v>
      </c>
      <c r="K243" s="202">
        <f t="shared" si="385"/>
        <v>-0.817716375457131</v>
      </c>
      <c r="L243" s="351"/>
      <c r="M243" s="351"/>
      <c r="N243" s="351"/>
      <c r="O243" s="202">
        <f>O242/K242-1</f>
        <v>0.55494242134868</v>
      </c>
      <c r="P243" s="351"/>
      <c r="Q243" s="16">
        <f>Q242/M242-1</f>
        <v>-0.193281927543185</v>
      </c>
      <c r="R243" s="16">
        <f>R242/N242-1</f>
        <v>-0.973051537333433</v>
      </c>
      <c r="S243" s="202">
        <f>S242/O242-1</f>
        <v>-0.49070386491454</v>
      </c>
      <c r="T243" s="351"/>
      <c r="U243" s="16">
        <f>U242/Q242-1</f>
        <v>0.183671482447</v>
      </c>
      <c r="V243" s="16">
        <f>V242/R242-1</f>
        <v>82.9149970974912</v>
      </c>
      <c r="W243" s="202">
        <f>W242/S242-1</f>
        <v>1.84778986531851</v>
      </c>
      <c r="X243" s="351"/>
      <c r="Y243" s="16">
        <f>Y242/U242-1</f>
        <v>-0.900657626347958</v>
      </c>
      <c r="Z243" s="16">
        <f>Z242/V242-1</f>
        <v>0.31910926765606</v>
      </c>
      <c r="AA243" s="202">
        <f>AA242/W242-1</f>
        <v>-0.175125075432439</v>
      </c>
      <c r="AB243" s="202">
        <f>AB242/AA242-1</f>
        <v>0.173451651482709</v>
      </c>
      <c r="AC243" s="202">
        <f t="shared" ref="AC243:AF243" si="386">AC242/AB242-1</f>
        <v>0.062315872905975</v>
      </c>
      <c r="AD243" s="202">
        <f t="shared" si="386"/>
        <v>0.0539657677910417</v>
      </c>
      <c r="AE243" s="202">
        <f t="shared" si="386"/>
        <v>0.0453794133393979</v>
      </c>
      <c r="AF243" s="202">
        <f t="shared" si="386"/>
        <v>0.0355135772667285</v>
      </c>
    </row>
    <row r="244" ht="18.5" spans="3:32">
      <c r="C244" s="2"/>
      <c r="D244" s="2"/>
      <c r="E244" s="193"/>
      <c r="F244" s="193"/>
      <c r="G244" s="193"/>
      <c r="H244" s="193"/>
      <c r="I244" s="279"/>
      <c r="J244" s="279"/>
      <c r="K244" s="279"/>
      <c r="L244" s="39"/>
      <c r="M244" s="39"/>
      <c r="N244" s="39"/>
      <c r="O244" s="279"/>
      <c r="P244" s="39"/>
      <c r="Q244" s="39"/>
      <c r="R244" s="39"/>
      <c r="S244" s="279"/>
      <c r="T244" s="39"/>
      <c r="U244" s="39"/>
      <c r="V244" s="39"/>
      <c r="W244" s="279"/>
      <c r="X244" s="39"/>
      <c r="Y244" s="39"/>
      <c r="Z244" s="39"/>
      <c r="AA244" s="193"/>
      <c r="AB244" s="188"/>
      <c r="AC244" s="188"/>
      <c r="AD244" s="188"/>
      <c r="AE244" s="188"/>
      <c r="AF244" s="188"/>
    </row>
    <row r="245" ht="18.5" spans="3:32">
      <c r="C245" s="2" t="s">
        <v>205</v>
      </c>
      <c r="D245" s="2"/>
      <c r="E245" s="343">
        <f>E340</f>
        <v>45.241</v>
      </c>
      <c r="F245" s="343">
        <f>F340</f>
        <v>48.778</v>
      </c>
      <c r="G245" s="343">
        <f t="shared" ref="G245:M245" si="387">G340</f>
        <v>62.4</v>
      </c>
      <c r="H245" s="343">
        <f t="shared" si="387"/>
        <v>71.3</v>
      </c>
      <c r="I245" s="343">
        <f t="shared" si="387"/>
        <v>115</v>
      </c>
      <c r="J245" s="343">
        <f t="shared" si="387"/>
        <v>450</v>
      </c>
      <c r="K245" s="343">
        <f t="shared" si="387"/>
        <v>499.2</v>
      </c>
      <c r="L245" s="352"/>
      <c r="M245" s="352">
        <f t="shared" si="387"/>
        <v>265.1</v>
      </c>
      <c r="N245" s="352">
        <f>O245-M245</f>
        <v>314.8</v>
      </c>
      <c r="O245" s="343">
        <f t="shared" ref="O245" si="388">O340</f>
        <v>579.9</v>
      </c>
      <c r="P245" s="352"/>
      <c r="Q245" s="352">
        <f t="shared" ref="Q245" si="389">Q340</f>
        <v>309.1</v>
      </c>
      <c r="R245" s="352">
        <f>S245-Q245</f>
        <v>324.1</v>
      </c>
      <c r="S245" s="343">
        <f t="shared" ref="S245" si="390">S340</f>
        <v>633.2</v>
      </c>
      <c r="T245" s="359"/>
      <c r="U245" s="352">
        <f t="shared" ref="U245" si="391">U340</f>
        <v>324.4</v>
      </c>
      <c r="V245" s="352">
        <f>W245-U245</f>
        <v>583.6</v>
      </c>
      <c r="W245" s="343">
        <f t="shared" ref="W245" si="392">W340</f>
        <v>908</v>
      </c>
      <c r="X245" s="360"/>
      <c r="Y245" s="352">
        <f t="shared" ref="Y245" si="393">Y340</f>
        <v>291.9</v>
      </c>
      <c r="Z245" s="352">
        <f>AA245-Y245</f>
        <v>508.1</v>
      </c>
      <c r="AA245" s="193">
        <v>800</v>
      </c>
      <c r="AB245" s="193">
        <v>850</v>
      </c>
      <c r="AC245" s="193">
        <v>900</v>
      </c>
      <c r="AD245" s="193">
        <v>950</v>
      </c>
      <c r="AE245" s="193">
        <v>1000</v>
      </c>
      <c r="AF245" s="193">
        <v>1050</v>
      </c>
    </row>
    <row r="246" s="151" customFormat="1" ht="18.5" spans="3:32">
      <c r="C246" s="8" t="s">
        <v>37</v>
      </c>
      <c r="D246" s="8"/>
      <c r="E246" s="201">
        <f t="shared" ref="E246:K246" si="394">E245+E210</f>
        <v>137.887</v>
      </c>
      <c r="F246" s="201">
        <f t="shared" si="394"/>
        <v>182.184</v>
      </c>
      <c r="G246" s="201">
        <f t="shared" si="394"/>
        <v>302.2</v>
      </c>
      <c r="H246" s="201">
        <f t="shared" si="394"/>
        <v>367.2</v>
      </c>
      <c r="I246" s="201">
        <f t="shared" si="394"/>
        <v>461.2</v>
      </c>
      <c r="J246" s="201">
        <f t="shared" si="394"/>
        <v>876.6</v>
      </c>
      <c r="K246" s="201">
        <f t="shared" si="394"/>
        <v>884.2</v>
      </c>
      <c r="L246" s="109"/>
      <c r="M246" s="109">
        <f t="shared" ref="M246:S246" si="395">M245+M210</f>
        <v>661.9</v>
      </c>
      <c r="N246" s="109">
        <f t="shared" si="395"/>
        <v>639.2</v>
      </c>
      <c r="O246" s="201">
        <f t="shared" si="395"/>
        <v>1301.1</v>
      </c>
      <c r="P246" s="109"/>
      <c r="Q246" s="109">
        <f t="shared" si="395"/>
        <v>641.9</v>
      </c>
      <c r="R246" s="109">
        <f t="shared" si="395"/>
        <v>797.3</v>
      </c>
      <c r="S246" s="201">
        <f t="shared" si="395"/>
        <v>1439.2</v>
      </c>
      <c r="T246" s="109"/>
      <c r="U246" s="109">
        <f t="shared" ref="U246:W246" si="396">U245+U210</f>
        <v>699.2</v>
      </c>
      <c r="V246" s="109">
        <f t="shared" si="396"/>
        <v>1136</v>
      </c>
      <c r="W246" s="201">
        <f t="shared" si="396"/>
        <v>1835.2</v>
      </c>
      <c r="X246" s="109"/>
      <c r="Y246" s="109">
        <f t="shared" ref="Y246:AA246" si="397">Y245+Y210</f>
        <v>584.1</v>
      </c>
      <c r="Z246" s="109">
        <f t="shared" si="397"/>
        <v>1032.9828288</v>
      </c>
      <c r="AA246" s="201">
        <f t="shared" si="397"/>
        <v>1617.0828288</v>
      </c>
      <c r="AB246" s="201">
        <f t="shared" ref="AB246:AF246" si="398">AB245+AB210</f>
        <v>1742.981980877</v>
      </c>
      <c r="AC246" s="201">
        <f t="shared" si="398"/>
        <v>1841.40029124756</v>
      </c>
      <c r="AD246" s="201">
        <f t="shared" si="398"/>
        <v>1935.94365169969</v>
      </c>
      <c r="AE246" s="201">
        <f t="shared" si="398"/>
        <v>2025.42118425215</v>
      </c>
      <c r="AF246" s="201">
        <f t="shared" si="398"/>
        <v>2107.71798374709</v>
      </c>
    </row>
    <row r="247" ht="18.5" spans="3:32">
      <c r="C247" s="298" t="s">
        <v>40</v>
      </c>
      <c r="D247" s="298"/>
      <c r="E247" s="202">
        <f t="shared" ref="E247:K247" si="399">E246/E172</f>
        <v>0.0905808692773146</v>
      </c>
      <c r="F247" s="202">
        <f t="shared" si="399"/>
        <v>0.10001032030267</v>
      </c>
      <c r="G247" s="202">
        <f t="shared" si="399"/>
        <v>0.127044183797873</v>
      </c>
      <c r="H247" s="202">
        <f t="shared" si="399"/>
        <v>0.116151072309736</v>
      </c>
      <c r="I247" s="202">
        <f t="shared" si="399"/>
        <v>0.0977574293102717</v>
      </c>
      <c r="J247" s="202">
        <f t="shared" si="399"/>
        <v>0.143450939320547</v>
      </c>
      <c r="K247" s="202">
        <f t="shared" si="399"/>
        <v>0.1433690593939</v>
      </c>
      <c r="L247" s="16"/>
      <c r="M247" s="16">
        <f>M246/M172</f>
        <v>0.17033815430542</v>
      </c>
      <c r="N247" s="16"/>
      <c r="O247" s="202">
        <f>O246/O172</f>
        <v>0.151944412005138</v>
      </c>
      <c r="P247" s="16"/>
      <c r="Q247" s="16">
        <f>Q246/Q172</f>
        <v>0.145291987324581</v>
      </c>
      <c r="R247" s="16"/>
      <c r="S247" s="202">
        <f>S246/S172</f>
        <v>0.142143209876543</v>
      </c>
      <c r="T247" s="97"/>
      <c r="U247" s="16">
        <f>U246/U172</f>
        <v>0.14615690127302</v>
      </c>
      <c r="V247" s="16"/>
      <c r="W247" s="202">
        <f>W246/W172</f>
        <v>0.174084613925251</v>
      </c>
      <c r="X247" s="97"/>
      <c r="Y247" s="16">
        <f>Y246/Y172</f>
        <v>0.116072493144152</v>
      </c>
      <c r="Z247" s="97"/>
      <c r="AA247" s="202">
        <f>AA246/AA172</f>
        <v>0.136669783716279</v>
      </c>
      <c r="AB247" s="202">
        <f t="shared" ref="AB247:AF247" si="400">AB246/AB172</f>
        <v>0.136996731944339</v>
      </c>
      <c r="AC247" s="202">
        <f t="shared" si="400"/>
        <v>0.13751261360395</v>
      </c>
      <c r="AD247" s="202">
        <f t="shared" si="400"/>
        <v>0.138290252506767</v>
      </c>
      <c r="AE247" s="202">
        <f t="shared" si="400"/>
        <v>0.139400067651638</v>
      </c>
      <c r="AF247" s="202">
        <f t="shared" si="400"/>
        <v>0.140844182211791</v>
      </c>
    </row>
    <row r="248" ht="18.5" spans="3:32">
      <c r="C248" s="292" t="s">
        <v>126</v>
      </c>
      <c r="D248" s="292"/>
      <c r="E248" s="337" t="s">
        <v>122</v>
      </c>
      <c r="F248" s="337">
        <f>(F247-E247)*10000</f>
        <v>94.294510253557</v>
      </c>
      <c r="G248" s="337">
        <f t="shared" ref="G248:K248" si="401">(G247-F247)*10000</f>
        <v>270.338634952024</v>
      </c>
      <c r="H248" s="337">
        <f t="shared" si="401"/>
        <v>-108.931114881365</v>
      </c>
      <c r="I248" s="337">
        <f t="shared" si="401"/>
        <v>-183.936429994645</v>
      </c>
      <c r="J248" s="337">
        <f t="shared" si="401"/>
        <v>456.935100102755</v>
      </c>
      <c r="K248" s="337">
        <f t="shared" si="401"/>
        <v>-0.818799266471271</v>
      </c>
      <c r="L248" s="40"/>
      <c r="M248" s="40"/>
      <c r="N248" s="40"/>
      <c r="O248" s="337">
        <f>(O247-K247)*10000</f>
        <v>85.7535261123823</v>
      </c>
      <c r="P248" s="40"/>
      <c r="Q248" s="40">
        <f>(Q247-M247)*10000</f>
        <v>-250.461669808385</v>
      </c>
      <c r="R248" s="40"/>
      <c r="S248" s="337">
        <f>(S247-O247)*10000</f>
        <v>-98.0120212859514</v>
      </c>
      <c r="T248" s="40"/>
      <c r="U248" s="40">
        <f>(U247-Q247)*10000</f>
        <v>8.64913948438573</v>
      </c>
      <c r="V248" s="40"/>
      <c r="W248" s="337">
        <f>(W247-S247)*10000</f>
        <v>319.414040487082</v>
      </c>
      <c r="X248" s="40"/>
      <c r="Y248" s="40">
        <f>(Y247-U247)*10000</f>
        <v>-300.844081288682</v>
      </c>
      <c r="Z248" s="40"/>
      <c r="AA248" s="337">
        <f>(AA247-W247)*10000</f>
        <v>-374.148302089725</v>
      </c>
      <c r="AB248" s="337">
        <f>(AB247-X247)*10000</f>
        <v>1369.96731944339</v>
      </c>
      <c r="AC248" s="337">
        <f t="shared" ref="AC248:AF248" si="402">(AC247-Y247)*10000</f>
        <v>214.401204597983</v>
      </c>
      <c r="AD248" s="337">
        <f t="shared" si="402"/>
        <v>1382.90252506767</v>
      </c>
      <c r="AE248" s="337">
        <f t="shared" si="402"/>
        <v>27.3028393535879</v>
      </c>
      <c r="AF248" s="337">
        <f t="shared" si="402"/>
        <v>38.4745026745159</v>
      </c>
    </row>
    <row r="249" ht="18.5" spans="3:32">
      <c r="C249" s="292" t="s">
        <v>18</v>
      </c>
      <c r="D249" s="292"/>
      <c r="E249" s="202" t="s">
        <v>122</v>
      </c>
      <c r="F249" s="202">
        <f>F246/E246-1</f>
        <v>0.321255810917635</v>
      </c>
      <c r="G249" s="202">
        <f t="shared" ref="G249:K249" si="403">G246/F246-1</f>
        <v>0.658762569709744</v>
      </c>
      <c r="H249" s="202">
        <f t="shared" si="403"/>
        <v>0.215089344804766</v>
      </c>
      <c r="I249" s="202">
        <f t="shared" si="403"/>
        <v>0.255991285403049</v>
      </c>
      <c r="J249" s="202">
        <f t="shared" si="403"/>
        <v>0.900693842150911</v>
      </c>
      <c r="K249" s="202">
        <f t="shared" si="403"/>
        <v>0.00866986082591836</v>
      </c>
      <c r="L249" s="16"/>
      <c r="M249" s="16"/>
      <c r="N249" s="16"/>
      <c r="O249" s="202">
        <f>O246/K246-1</f>
        <v>0.471499660710246</v>
      </c>
      <c r="P249" s="16"/>
      <c r="Q249" s="16">
        <f>Q246/M246-1</f>
        <v>-0.0302160447197465</v>
      </c>
      <c r="R249" s="16"/>
      <c r="S249" s="202">
        <f>S246/O246-1</f>
        <v>0.106140957651218</v>
      </c>
      <c r="T249" s="16"/>
      <c r="U249" s="16">
        <f>U246/Q246-1</f>
        <v>0.0892662408474834</v>
      </c>
      <c r="V249" s="16"/>
      <c r="W249" s="202">
        <f>W246/S246-1</f>
        <v>0.275152862701501</v>
      </c>
      <c r="X249" s="16"/>
      <c r="Y249" s="16">
        <f>Y246/U246-1</f>
        <v>-0.164616704805492</v>
      </c>
      <c r="Z249" s="16"/>
      <c r="AA249" s="202">
        <f>AA246/W246-1</f>
        <v>-0.118851989537926</v>
      </c>
      <c r="AB249" s="202">
        <f>AB246/AA246-1</f>
        <v>0.07785572256087</v>
      </c>
      <c r="AC249" s="202">
        <f t="shared" ref="AC249:AF249" si="404">AC246/AB246-1</f>
        <v>0.0564654778135132</v>
      </c>
      <c r="AD249" s="202">
        <f t="shared" si="404"/>
        <v>0.0513431875195751</v>
      </c>
      <c r="AE249" s="202">
        <f t="shared" si="404"/>
        <v>0.0462190789870909</v>
      </c>
      <c r="AF249" s="202">
        <f t="shared" si="404"/>
        <v>0.0406319436840121</v>
      </c>
    </row>
    <row r="250" s="151" customFormat="1" ht="18.5" spans="3:32">
      <c r="C250" s="301" t="s">
        <v>177</v>
      </c>
      <c r="D250" s="301"/>
      <c r="E250" s="335" t="s">
        <v>122</v>
      </c>
      <c r="F250" s="335">
        <f t="shared" ref="F250:K250" si="405">(F246-E246)/(F172-E172)</f>
        <v>0.147953065975504</v>
      </c>
      <c r="G250" s="335">
        <f t="shared" si="405"/>
        <v>0.21545001507949</v>
      </c>
      <c r="H250" s="335">
        <f t="shared" si="405"/>
        <v>0.0830458668710877</v>
      </c>
      <c r="I250" s="335">
        <f t="shared" si="405"/>
        <v>0.0603957851452067</v>
      </c>
      <c r="J250" s="335">
        <f t="shared" si="405"/>
        <v>0.298205312275664</v>
      </c>
      <c r="K250" s="335">
        <f t="shared" si="405"/>
        <v>0.134513274336284</v>
      </c>
      <c r="L250" s="346"/>
      <c r="M250" s="346"/>
      <c r="N250" s="346"/>
      <c r="O250" s="335">
        <f>(O246-K246)/(O172-K172)</f>
        <v>0.174020119380557</v>
      </c>
      <c r="P250" s="346"/>
      <c r="Q250" s="346">
        <f>(Q246-M246)/(Q172-M172)</f>
        <v>-0.0375798571965431</v>
      </c>
      <c r="R250" s="346"/>
      <c r="S250" s="335">
        <f>(S246-O246)/(S172-O172)</f>
        <v>0.0884122919334188</v>
      </c>
      <c r="T250" s="346"/>
      <c r="U250" s="346">
        <f>(U246-Q246)/(U172-Q172)</f>
        <v>0.156600163979228</v>
      </c>
      <c r="V250" s="346"/>
      <c r="W250" s="335">
        <f>(W246-S246)/(W172-S172)</f>
        <v>0.949640287769785</v>
      </c>
      <c r="X250" s="346"/>
      <c r="Y250" s="346">
        <f>(Y246-U246)/(Y172-U172)</f>
        <v>-0.46355215465163</v>
      </c>
      <c r="Z250" s="362"/>
      <c r="AA250" s="335">
        <f>(AA246-W246)/(AA172-W172)</f>
        <v>-0.169077374381913</v>
      </c>
      <c r="AB250" s="335">
        <f>(AB246-AA246)/(AB172-AA172)</f>
        <v>0.141339632644737</v>
      </c>
      <c r="AC250" s="335">
        <f t="shared" ref="AC250:AF250" si="406">(AC246-AB246)/(AC172-AB172)</f>
        <v>0.147338533431829</v>
      </c>
      <c r="AD250" s="335">
        <f t="shared" si="406"/>
        <v>0.155407086275032</v>
      </c>
      <c r="AE250" s="335">
        <f t="shared" si="406"/>
        <v>0.168690714947765</v>
      </c>
      <c r="AF250" s="335">
        <f t="shared" si="406"/>
        <v>0.189042296749071</v>
      </c>
    </row>
    <row r="251" ht="18.5" spans="3:32">
      <c r="C251" s="2"/>
      <c r="D251" s="2"/>
      <c r="E251" s="193"/>
      <c r="F251" s="193"/>
      <c r="G251" s="193"/>
      <c r="H251" s="193"/>
      <c r="I251" s="193"/>
      <c r="J251" s="193"/>
      <c r="K251" s="193"/>
      <c r="L251" s="2"/>
      <c r="M251" s="2"/>
      <c r="N251" s="2"/>
      <c r="O251" s="193"/>
      <c r="P251" s="2"/>
      <c r="Q251" s="2"/>
      <c r="R251" s="2"/>
      <c r="S251" s="193"/>
      <c r="T251" s="2"/>
      <c r="U251" s="2"/>
      <c r="V251" s="2"/>
      <c r="W251" s="193"/>
      <c r="X251" s="2"/>
      <c r="Y251" s="2"/>
      <c r="Z251" s="2"/>
      <c r="AA251" s="193"/>
      <c r="AB251" s="188"/>
      <c r="AC251" s="188"/>
      <c r="AD251" s="188"/>
      <c r="AE251" s="188"/>
      <c r="AF251" s="188"/>
    </row>
    <row r="252" ht="18.5" spans="3:32">
      <c r="C252" s="344"/>
      <c r="D252" s="344"/>
      <c r="E252" s="330"/>
      <c r="F252" s="330"/>
      <c r="G252" s="330"/>
      <c r="H252" s="330"/>
      <c r="I252" s="353"/>
      <c r="J252" s="354"/>
      <c r="K252" s="354"/>
      <c r="L252" s="3"/>
      <c r="M252" s="3"/>
      <c r="N252" s="3"/>
      <c r="O252" s="354"/>
      <c r="P252" s="3"/>
      <c r="Q252" s="3"/>
      <c r="R252" s="3"/>
      <c r="S252" s="354"/>
      <c r="T252" s="3"/>
      <c r="U252" s="3"/>
      <c r="V252" s="3"/>
      <c r="W252" s="193"/>
      <c r="X252" s="2"/>
      <c r="Y252" s="2"/>
      <c r="Z252" s="2"/>
      <c r="AA252" s="193"/>
      <c r="AB252" s="188"/>
      <c r="AC252" s="188"/>
      <c r="AD252" s="188"/>
      <c r="AE252" s="188"/>
      <c r="AF252" s="188"/>
    </row>
    <row r="253" ht="26" spans="2:43">
      <c r="B253" s="290"/>
      <c r="C253" s="196" t="s">
        <v>206</v>
      </c>
      <c r="D253" s="196"/>
      <c r="E253" s="196"/>
      <c r="F253" s="196"/>
      <c r="G253" s="196"/>
      <c r="H253" s="196"/>
      <c r="I253" s="355"/>
      <c r="J253" s="310"/>
      <c r="K253" s="310"/>
      <c r="L253" s="310"/>
      <c r="M253" s="310"/>
      <c r="N253" s="310"/>
      <c r="O253" s="310"/>
      <c r="P253" s="310"/>
      <c r="Q253" s="310"/>
      <c r="R253" s="310"/>
      <c r="S253" s="310"/>
      <c r="T253" s="310"/>
      <c r="U253" s="310"/>
      <c r="V253" s="310"/>
      <c r="W253" s="310"/>
      <c r="X253" s="310"/>
      <c r="Y253" s="310"/>
      <c r="Z253" s="310"/>
      <c r="AA253" s="290"/>
      <c r="AB253" s="290"/>
      <c r="AC253" s="290"/>
      <c r="AD253" s="290"/>
      <c r="AE253" s="290"/>
      <c r="AF253" s="290"/>
      <c r="AP253"/>
      <c r="AQ253"/>
    </row>
    <row r="254" ht="18.5" spans="3:32">
      <c r="C254" s="2" t="s">
        <v>207</v>
      </c>
      <c r="D254" s="2"/>
      <c r="E254" s="204">
        <v>225.02</v>
      </c>
      <c r="F254" s="345">
        <v>238.324</v>
      </c>
      <c r="G254" s="345">
        <v>348</v>
      </c>
      <c r="H254" s="345">
        <v>478</v>
      </c>
      <c r="I254" s="345">
        <v>763.8</v>
      </c>
      <c r="J254" s="345">
        <v>811.8</v>
      </c>
      <c r="K254" s="345">
        <v>813.7</v>
      </c>
      <c r="L254" s="356"/>
      <c r="M254" s="356">
        <v>996.7</v>
      </c>
      <c r="N254" s="356"/>
      <c r="O254" s="345">
        <v>989.4</v>
      </c>
      <c r="P254" s="356"/>
      <c r="Q254" s="356">
        <v>1428.5</v>
      </c>
      <c r="R254" s="356"/>
      <c r="S254" s="345">
        <v>1466.4</v>
      </c>
      <c r="T254" s="361"/>
      <c r="U254" s="361">
        <v>1625.1</v>
      </c>
      <c r="V254" s="361"/>
      <c r="W254" s="357">
        <v>1592.7</v>
      </c>
      <c r="X254" s="111"/>
      <c r="Y254" s="111">
        <v>2014</v>
      </c>
      <c r="Z254" s="111"/>
      <c r="AA254" s="188"/>
      <c r="AB254" s="188"/>
      <c r="AC254" s="188"/>
      <c r="AD254" s="188"/>
      <c r="AE254" s="188"/>
      <c r="AF254" s="188"/>
    </row>
    <row r="255" ht="18.5" spans="3:32">
      <c r="C255" s="2" t="s">
        <v>208</v>
      </c>
      <c r="D255" s="2"/>
      <c r="E255" s="204">
        <v>0</v>
      </c>
      <c r="F255" s="204">
        <v>0</v>
      </c>
      <c r="G255" s="204">
        <v>0</v>
      </c>
      <c r="H255" s="204">
        <v>0</v>
      </c>
      <c r="I255" s="204">
        <v>0</v>
      </c>
      <c r="J255" s="204">
        <v>0</v>
      </c>
      <c r="K255" s="345">
        <v>0</v>
      </c>
      <c r="L255" s="356"/>
      <c r="M255" s="356">
        <v>0</v>
      </c>
      <c r="N255" s="356"/>
      <c r="O255" s="345">
        <v>0</v>
      </c>
      <c r="P255" s="356"/>
      <c r="Q255" s="356">
        <v>17.3</v>
      </c>
      <c r="R255" s="356"/>
      <c r="S255" s="345">
        <v>0</v>
      </c>
      <c r="T255" s="361"/>
      <c r="U255" s="361">
        <v>0</v>
      </c>
      <c r="V255" s="361"/>
      <c r="W255" s="357">
        <v>0</v>
      </c>
      <c r="X255" s="111"/>
      <c r="Y255" s="111">
        <v>0</v>
      </c>
      <c r="Z255" s="111"/>
      <c r="AA255" s="188"/>
      <c r="AB255" s="188"/>
      <c r="AC255" s="188"/>
      <c r="AD255" s="188"/>
      <c r="AE255" s="188"/>
      <c r="AF255" s="188"/>
    </row>
    <row r="256" ht="18.5" spans="3:32">
      <c r="C256" s="2" t="s">
        <v>209</v>
      </c>
      <c r="D256" s="2"/>
      <c r="E256" s="204">
        <v>53.922</v>
      </c>
      <c r="F256" s="345">
        <v>56.375</v>
      </c>
      <c r="G256" s="345">
        <v>118.5</v>
      </c>
      <c r="H256" s="345">
        <v>146.3</v>
      </c>
      <c r="I256" s="345">
        <v>177.2</v>
      </c>
      <c r="J256" s="345">
        <v>183.9</v>
      </c>
      <c r="K256" s="345">
        <v>141.2</v>
      </c>
      <c r="L256" s="356"/>
      <c r="M256" s="356">
        <v>214.7</v>
      </c>
      <c r="N256" s="356"/>
      <c r="O256" s="357">
        <v>215.4</v>
      </c>
      <c r="P256" s="358"/>
      <c r="Q256" s="358">
        <v>314.7</v>
      </c>
      <c r="R256" s="358"/>
      <c r="S256" s="357">
        <v>263.8</v>
      </c>
      <c r="T256" s="361"/>
      <c r="U256" s="361">
        <v>292</v>
      </c>
      <c r="V256" s="361"/>
      <c r="W256" s="357">
        <v>253</v>
      </c>
      <c r="X256" s="111"/>
      <c r="Y256" s="111">
        <v>289.5</v>
      </c>
      <c r="Z256" s="111"/>
      <c r="AA256" s="188"/>
      <c r="AB256" s="188"/>
      <c r="AC256" s="188"/>
      <c r="AD256" s="188"/>
      <c r="AE256" s="188"/>
      <c r="AF256" s="188"/>
    </row>
    <row r="257" ht="18.5" spans="3:32">
      <c r="C257" s="2" t="s">
        <v>210</v>
      </c>
      <c r="D257" s="2"/>
      <c r="E257" s="204">
        <v>0</v>
      </c>
      <c r="F257" s="204">
        <v>0</v>
      </c>
      <c r="G257" s="204">
        <v>0</v>
      </c>
      <c r="H257" s="204">
        <v>0</v>
      </c>
      <c r="I257" s="204">
        <v>0</v>
      </c>
      <c r="J257" s="204">
        <v>0</v>
      </c>
      <c r="K257" s="345">
        <v>0</v>
      </c>
      <c r="L257" s="356"/>
      <c r="M257" s="356">
        <v>0</v>
      </c>
      <c r="N257" s="356"/>
      <c r="O257" s="357">
        <v>0.6</v>
      </c>
      <c r="P257" s="358"/>
      <c r="Q257" s="358">
        <v>0</v>
      </c>
      <c r="R257" s="358"/>
      <c r="S257" s="357">
        <v>0</v>
      </c>
      <c r="T257" s="361"/>
      <c r="U257" s="361">
        <v>0.1</v>
      </c>
      <c r="V257" s="361"/>
      <c r="W257" s="357">
        <v>10.8</v>
      </c>
      <c r="X257" s="111"/>
      <c r="Y257" s="111">
        <v>43.4</v>
      </c>
      <c r="Z257" s="111"/>
      <c r="AA257" s="188"/>
      <c r="AB257" s="188"/>
      <c r="AC257" s="188"/>
      <c r="AD257" s="188"/>
      <c r="AE257" s="188"/>
      <c r="AF257" s="188"/>
    </row>
    <row r="258" ht="18.5" spans="3:32">
      <c r="C258" s="2" t="s">
        <v>211</v>
      </c>
      <c r="D258" s="2"/>
      <c r="E258" s="204">
        <v>0</v>
      </c>
      <c r="F258" s="204">
        <v>0</v>
      </c>
      <c r="G258" s="204">
        <v>0</v>
      </c>
      <c r="H258" s="204">
        <v>0</v>
      </c>
      <c r="I258" s="204">
        <v>0</v>
      </c>
      <c r="J258" s="204">
        <v>0</v>
      </c>
      <c r="K258" s="345">
        <v>0</v>
      </c>
      <c r="L258" s="356"/>
      <c r="M258" s="356">
        <v>0</v>
      </c>
      <c r="N258" s="356"/>
      <c r="O258" s="357">
        <v>157.1</v>
      </c>
      <c r="P258" s="358"/>
      <c r="Q258" s="358">
        <v>165.7</v>
      </c>
      <c r="R258" s="358"/>
      <c r="S258" s="357">
        <v>197.5</v>
      </c>
      <c r="T258" s="361"/>
      <c r="U258" s="361">
        <v>92.9</v>
      </c>
      <c r="V258" s="361"/>
      <c r="W258" s="357">
        <v>33.8</v>
      </c>
      <c r="X258" s="111"/>
      <c r="Y258" s="111">
        <v>0</v>
      </c>
      <c r="Z258" s="111"/>
      <c r="AA258" s="188"/>
      <c r="AB258" s="188"/>
      <c r="AC258" s="188"/>
      <c r="AD258" s="188"/>
      <c r="AE258" s="188"/>
      <c r="AF258" s="188"/>
    </row>
    <row r="259" ht="18.5" spans="3:32">
      <c r="C259" s="2" t="s">
        <v>212</v>
      </c>
      <c r="D259" s="2"/>
      <c r="E259" s="204">
        <v>121.317</v>
      </c>
      <c r="F259" s="345">
        <v>215.996</v>
      </c>
      <c r="G259" s="345">
        <v>247.6</v>
      </c>
      <c r="H259" s="345">
        <v>347.5</v>
      </c>
      <c r="I259" s="345">
        <v>251.2</v>
      </c>
      <c r="J259" s="345">
        <v>465.9</v>
      </c>
      <c r="K259" s="385">
        <v>964.4</v>
      </c>
      <c r="L259" s="386"/>
      <c r="M259" s="386">
        <v>1304.7</v>
      </c>
      <c r="N259" s="386"/>
      <c r="O259" s="385">
        <v>1314</v>
      </c>
      <c r="P259" s="386"/>
      <c r="Q259" s="386">
        <v>1137.9</v>
      </c>
      <c r="R259" s="386"/>
      <c r="S259" s="385">
        <v>1508</v>
      </c>
      <c r="T259" s="361"/>
      <c r="U259" s="361">
        <v>1391.1</v>
      </c>
      <c r="V259" s="361"/>
      <c r="W259" s="385">
        <v>1152.7</v>
      </c>
      <c r="X259" s="111"/>
      <c r="Y259" s="111">
        <v>946.3</v>
      </c>
      <c r="Z259" s="111"/>
      <c r="AA259" s="188"/>
      <c r="AB259" s="188"/>
      <c r="AC259" s="188"/>
      <c r="AD259" s="188"/>
      <c r="AE259" s="188"/>
      <c r="AF259" s="188"/>
    </row>
    <row r="260" s="151" customFormat="1" ht="18.5" spans="3:32">
      <c r="C260" s="8" t="s">
        <v>213</v>
      </c>
      <c r="D260" s="8"/>
      <c r="E260" s="365">
        <f>E254+E255+E256+E257+E258+E259</f>
        <v>400.259</v>
      </c>
      <c r="F260" s="366">
        <f t="shared" ref="F260:K260" si="407">F254+F255+F256+F257+F258+F259</f>
        <v>510.695</v>
      </c>
      <c r="G260" s="366">
        <f t="shared" si="407"/>
        <v>714.1</v>
      </c>
      <c r="H260" s="366">
        <f t="shared" si="407"/>
        <v>971.8</v>
      </c>
      <c r="I260" s="366">
        <f t="shared" si="407"/>
        <v>1192.2</v>
      </c>
      <c r="J260" s="366">
        <f t="shared" si="407"/>
        <v>1461.6</v>
      </c>
      <c r="K260" s="366">
        <f t="shared" si="407"/>
        <v>1919.3</v>
      </c>
      <c r="L260" s="387"/>
      <c r="M260" s="387">
        <f t="shared" ref="M260:Q260" si="408">M254+M255+M256+M257+M258+M259</f>
        <v>2516.1</v>
      </c>
      <c r="N260" s="387"/>
      <c r="O260" s="366">
        <f t="shared" si="408"/>
        <v>2676.5</v>
      </c>
      <c r="P260" s="387"/>
      <c r="Q260" s="387">
        <f t="shared" si="408"/>
        <v>3064.1</v>
      </c>
      <c r="R260" s="387"/>
      <c r="S260" s="366">
        <f t="shared" ref="S260" si="409">S254+S255+S256+S257+S258+S259</f>
        <v>3435.7</v>
      </c>
      <c r="T260" s="249"/>
      <c r="U260" s="387">
        <f t="shared" ref="U260" si="410">U254+U255+U256+U257+U258+U259</f>
        <v>3401.2</v>
      </c>
      <c r="V260" s="387"/>
      <c r="W260" s="366">
        <f t="shared" ref="W260:Y260" si="411">W254+W255+W256+W257+W258+W259</f>
        <v>3043</v>
      </c>
      <c r="X260" s="142"/>
      <c r="Y260" s="387">
        <f t="shared" si="411"/>
        <v>3293.2</v>
      </c>
      <c r="Z260" s="387"/>
      <c r="AA260" s="405"/>
      <c r="AB260" s="405"/>
      <c r="AC260" s="405"/>
      <c r="AD260" s="405"/>
      <c r="AE260" s="405"/>
      <c r="AF260" s="405"/>
    </row>
    <row r="261" ht="18.5" spans="3:32">
      <c r="C261" s="8"/>
      <c r="D261" s="8"/>
      <c r="E261" s="201"/>
      <c r="F261" s="206"/>
      <c r="G261" s="206"/>
      <c r="H261" s="206"/>
      <c r="I261" s="236"/>
      <c r="J261" s="236"/>
      <c r="K261" s="236"/>
      <c r="L261" s="249"/>
      <c r="M261" s="249"/>
      <c r="N261" s="249"/>
      <c r="O261" s="236"/>
      <c r="P261" s="249"/>
      <c r="Q261" s="249"/>
      <c r="R261" s="249"/>
      <c r="S261" s="236"/>
      <c r="T261" s="249"/>
      <c r="U261" s="249"/>
      <c r="V261" s="249"/>
      <c r="W261" s="398"/>
      <c r="X261" s="142"/>
      <c r="Y261" s="142"/>
      <c r="Z261" s="142"/>
      <c r="AA261" s="188"/>
      <c r="AB261" s="188"/>
      <c r="AC261" s="188"/>
      <c r="AD261" s="188"/>
      <c r="AE261" s="188"/>
      <c r="AF261" s="188"/>
    </row>
    <row r="262" ht="18.5" spans="3:32">
      <c r="C262" s="2" t="s">
        <v>214</v>
      </c>
      <c r="D262" s="2"/>
      <c r="E262" s="267">
        <v>101.075</v>
      </c>
      <c r="F262" s="357">
        <v>73.611</v>
      </c>
      <c r="G262" s="357">
        <v>190.9</v>
      </c>
      <c r="H262" s="357">
        <v>211</v>
      </c>
      <c r="I262" s="357">
        <v>394.3</v>
      </c>
      <c r="J262" s="357">
        <v>413.7</v>
      </c>
      <c r="K262" s="357">
        <v>819.7</v>
      </c>
      <c r="L262" s="358"/>
      <c r="M262" s="358">
        <v>1208.5</v>
      </c>
      <c r="N262" s="358"/>
      <c r="O262" s="357">
        <v>1514.7</v>
      </c>
      <c r="P262" s="358"/>
      <c r="Q262" s="358">
        <v>1614.8</v>
      </c>
      <c r="R262" s="358"/>
      <c r="S262" s="345">
        <v>1500.5</v>
      </c>
      <c r="T262" s="361"/>
      <c r="U262" s="361">
        <v>1385.8</v>
      </c>
      <c r="V262" s="361"/>
      <c r="W262" s="345">
        <v>1429.3</v>
      </c>
      <c r="X262" s="111"/>
      <c r="Y262" s="111">
        <v>1940.4</v>
      </c>
      <c r="Z262" s="111"/>
      <c r="AA262" s="188"/>
      <c r="AB262" s="188"/>
      <c r="AC262" s="188"/>
      <c r="AD262" s="188"/>
      <c r="AE262" s="188"/>
      <c r="AF262" s="188"/>
    </row>
    <row r="263" ht="18.5" spans="3:32">
      <c r="C263" s="2" t="s">
        <v>215</v>
      </c>
      <c r="D263" s="2"/>
      <c r="E263" s="267">
        <v>147.934</v>
      </c>
      <c r="F263" s="357">
        <v>173.317</v>
      </c>
      <c r="G263" s="357">
        <v>235.8</v>
      </c>
      <c r="H263" s="357">
        <v>376.9</v>
      </c>
      <c r="I263" s="357">
        <v>539.8</v>
      </c>
      <c r="J263" s="357">
        <v>2420.1</v>
      </c>
      <c r="K263" s="357">
        <v>564</v>
      </c>
      <c r="L263" s="358"/>
      <c r="M263" s="358">
        <v>627.3</v>
      </c>
      <c r="N263" s="358"/>
      <c r="O263" s="357">
        <v>688.5</v>
      </c>
      <c r="P263" s="358"/>
      <c r="Q263" s="358">
        <v>776</v>
      </c>
      <c r="R263" s="358"/>
      <c r="S263" s="357">
        <v>875.6</v>
      </c>
      <c r="T263" s="361"/>
      <c r="U263" s="361">
        <v>963.8</v>
      </c>
      <c r="V263" s="361"/>
      <c r="W263" s="357">
        <v>1151.9</v>
      </c>
      <c r="X263" s="111"/>
      <c r="Y263" s="111">
        <v>1349.5</v>
      </c>
      <c r="Z263" s="111"/>
      <c r="AA263" s="188"/>
      <c r="AB263" s="188"/>
      <c r="AC263" s="188"/>
      <c r="AD263" s="188"/>
      <c r="AE263" s="188"/>
      <c r="AF263" s="188"/>
    </row>
    <row r="264" ht="18.5" spans="3:32">
      <c r="C264" s="2" t="s">
        <v>216</v>
      </c>
      <c r="D264" s="2"/>
      <c r="E264" s="267">
        <v>0</v>
      </c>
      <c r="F264" s="267">
        <v>0</v>
      </c>
      <c r="G264" s="267">
        <v>0</v>
      </c>
      <c r="H264" s="267">
        <v>0</v>
      </c>
      <c r="I264" s="267">
        <v>0</v>
      </c>
      <c r="J264" s="267">
        <v>0</v>
      </c>
      <c r="K264" s="267">
        <v>0</v>
      </c>
      <c r="L264" s="358"/>
      <c r="M264" s="358">
        <v>0</v>
      </c>
      <c r="N264" s="358"/>
      <c r="O264" s="357">
        <v>0</v>
      </c>
      <c r="P264" s="358"/>
      <c r="Q264" s="358">
        <v>0</v>
      </c>
      <c r="R264" s="358"/>
      <c r="S264" s="357">
        <v>0</v>
      </c>
      <c r="T264" s="361"/>
      <c r="U264" s="361">
        <v>0</v>
      </c>
      <c r="V264" s="361"/>
      <c r="W264" s="357">
        <v>3.1</v>
      </c>
      <c r="X264" s="111"/>
      <c r="Y264" s="111">
        <v>3.1</v>
      </c>
      <c r="Z264" s="111"/>
      <c r="AA264" s="188"/>
      <c r="AB264" s="188"/>
      <c r="AC264" s="188"/>
      <c r="AD264" s="188"/>
      <c r="AE264" s="188"/>
      <c r="AF264" s="188"/>
    </row>
    <row r="265" ht="18.5" spans="3:32">
      <c r="C265" s="2" t="s">
        <v>217</v>
      </c>
      <c r="D265" s="2"/>
      <c r="E265" s="267">
        <v>0</v>
      </c>
      <c r="F265" s="267">
        <v>0</v>
      </c>
      <c r="G265" s="267">
        <v>0</v>
      </c>
      <c r="H265" s="267">
        <v>0</v>
      </c>
      <c r="I265" s="267">
        <v>0</v>
      </c>
      <c r="J265" s="267">
        <v>0</v>
      </c>
      <c r="K265" s="357">
        <v>1752.4</v>
      </c>
      <c r="L265" s="358"/>
      <c r="M265" s="358">
        <v>1963.5</v>
      </c>
      <c r="N265" s="358"/>
      <c r="O265" s="357">
        <v>2075.9</v>
      </c>
      <c r="P265" s="358"/>
      <c r="Q265" s="358">
        <v>2075.1</v>
      </c>
      <c r="R265" s="358"/>
      <c r="S265" s="357">
        <v>2181.8</v>
      </c>
      <c r="T265" s="361"/>
      <c r="U265" s="361">
        <v>2208</v>
      </c>
      <c r="V265" s="361"/>
      <c r="W265" s="357">
        <v>2296.6</v>
      </c>
      <c r="X265" s="111"/>
      <c r="Y265" s="111">
        <v>2623.5</v>
      </c>
      <c r="Z265" s="111"/>
      <c r="AA265" s="188"/>
      <c r="AB265" s="188"/>
      <c r="AC265" s="188"/>
      <c r="AD265" s="188"/>
      <c r="AE265" s="188"/>
      <c r="AF265" s="188"/>
    </row>
    <row r="266" ht="18.5" spans="3:32">
      <c r="C266" s="2" t="s">
        <v>218</v>
      </c>
      <c r="D266" s="2"/>
      <c r="E266" s="267">
        <v>0</v>
      </c>
      <c r="F266" s="267">
        <v>0</v>
      </c>
      <c r="G266" s="267">
        <v>0</v>
      </c>
      <c r="H266" s="267">
        <v>0</v>
      </c>
      <c r="I266" s="267">
        <v>0</v>
      </c>
      <c r="J266" s="267">
        <v>0</v>
      </c>
      <c r="K266" s="357">
        <v>2.7</v>
      </c>
      <c r="L266" s="358"/>
      <c r="M266" s="358">
        <v>59</v>
      </c>
      <c r="N266" s="358"/>
      <c r="O266" s="357">
        <v>56.2</v>
      </c>
      <c r="P266" s="358"/>
      <c r="Q266" s="358">
        <f>42.1+4.4</f>
        <v>46.5</v>
      </c>
      <c r="R266" s="358"/>
      <c r="S266" s="357">
        <v>38.8</v>
      </c>
      <c r="T266" s="361"/>
      <c r="U266" s="361">
        <v>40.6</v>
      </c>
      <c r="V266" s="361"/>
      <c r="W266" s="357">
        <v>43.5</v>
      </c>
      <c r="X266" s="111"/>
      <c r="Y266" s="111">
        <v>45.9</v>
      </c>
      <c r="Z266" s="111"/>
      <c r="AA266" s="188"/>
      <c r="AB266" s="188"/>
      <c r="AC266" s="188"/>
      <c r="AD266" s="188"/>
      <c r="AE266" s="188"/>
      <c r="AF266" s="188"/>
    </row>
    <row r="267" ht="18.5" spans="3:32">
      <c r="C267" s="2" t="s">
        <v>219</v>
      </c>
      <c r="D267" s="2"/>
      <c r="E267" s="267">
        <v>32.402</v>
      </c>
      <c r="F267" s="357">
        <v>33.191</v>
      </c>
      <c r="G267" s="357">
        <v>38.1</v>
      </c>
      <c r="H267" s="357">
        <v>66.5</v>
      </c>
      <c r="I267" s="357">
        <v>79.1</v>
      </c>
      <c r="J267" s="357">
        <v>47.9</v>
      </c>
      <c r="K267" s="357">
        <v>63.2</v>
      </c>
      <c r="L267" s="358"/>
      <c r="M267" s="358">
        <v>56.8</v>
      </c>
      <c r="N267" s="358"/>
      <c r="O267" s="357">
        <v>57</v>
      </c>
      <c r="P267" s="358"/>
      <c r="Q267" s="386">
        <f>62+3.9</f>
        <v>65.9</v>
      </c>
      <c r="R267" s="386"/>
      <c r="S267" s="385">
        <v>56.9</v>
      </c>
      <c r="T267" s="361"/>
      <c r="U267" s="386">
        <v>55.4</v>
      </c>
      <c r="V267" s="386"/>
      <c r="W267" s="385">
        <v>54.3</v>
      </c>
      <c r="X267" s="111"/>
      <c r="Y267" s="386">
        <v>56</v>
      </c>
      <c r="Z267" s="386"/>
      <c r="AA267" s="188"/>
      <c r="AB267" s="188"/>
      <c r="AC267" s="188"/>
      <c r="AD267" s="188"/>
      <c r="AE267" s="188"/>
      <c r="AF267" s="188"/>
    </row>
    <row r="268" ht="18.5" spans="3:32">
      <c r="C268" s="367" t="s">
        <v>220</v>
      </c>
      <c r="D268" s="367"/>
      <c r="E268" s="368">
        <v>0</v>
      </c>
      <c r="F268" s="357">
        <v>0.482</v>
      </c>
      <c r="G268" s="357">
        <v>0</v>
      </c>
      <c r="H268" s="357">
        <v>0</v>
      </c>
      <c r="I268" s="357">
        <v>0.1</v>
      </c>
      <c r="J268" s="357">
        <v>2.6</v>
      </c>
      <c r="K268" s="357">
        <v>40.6</v>
      </c>
      <c r="L268" s="358"/>
      <c r="M268" s="358">
        <v>21</v>
      </c>
      <c r="N268" s="358"/>
      <c r="O268" s="357">
        <v>81.7</v>
      </c>
      <c r="P268" s="358"/>
      <c r="Q268" s="358">
        <v>69.9</v>
      </c>
      <c r="R268" s="358"/>
      <c r="S268" s="385">
        <v>12.9</v>
      </c>
      <c r="T268" s="361"/>
      <c r="U268" s="361">
        <v>32.1</v>
      </c>
      <c r="V268" s="361"/>
      <c r="W268" s="385">
        <v>23.8</v>
      </c>
      <c r="X268" s="111"/>
      <c r="Y268" s="111">
        <v>38.1</v>
      </c>
      <c r="Z268" s="111"/>
      <c r="AA268" s="188"/>
      <c r="AB268" s="188"/>
      <c r="AC268" s="188"/>
      <c r="AD268" s="188"/>
      <c r="AE268" s="188"/>
      <c r="AF268" s="188"/>
    </row>
    <row r="269" ht="18.5" spans="3:32">
      <c r="C269" s="2" t="s">
        <v>209</v>
      </c>
      <c r="D269" s="367"/>
      <c r="E269" s="368">
        <v>0</v>
      </c>
      <c r="F269" s="368">
        <v>0</v>
      </c>
      <c r="G269" s="368">
        <v>0</v>
      </c>
      <c r="H269" s="368">
        <v>0</v>
      </c>
      <c r="I269" s="368">
        <v>0</v>
      </c>
      <c r="J269" s="368">
        <v>0</v>
      </c>
      <c r="K269" s="368">
        <v>0</v>
      </c>
      <c r="L269" s="358"/>
      <c r="M269" s="358">
        <v>0</v>
      </c>
      <c r="N269" s="358"/>
      <c r="O269" s="357">
        <v>2.5</v>
      </c>
      <c r="P269" s="358"/>
      <c r="Q269" s="358">
        <v>0</v>
      </c>
      <c r="R269" s="358"/>
      <c r="S269" s="385">
        <v>8.4</v>
      </c>
      <c r="T269" s="361"/>
      <c r="U269" s="361">
        <v>8.4</v>
      </c>
      <c r="V269" s="361"/>
      <c r="W269" s="385">
        <v>0.7</v>
      </c>
      <c r="X269" s="111"/>
      <c r="Y269" s="111">
        <v>0.7</v>
      </c>
      <c r="Z269" s="111"/>
      <c r="AA269" s="188"/>
      <c r="AB269" s="188"/>
      <c r="AC269" s="188"/>
      <c r="AD269" s="188"/>
      <c r="AE269" s="188"/>
      <c r="AF269" s="188"/>
    </row>
    <row r="270" s="151" customFormat="1" ht="18.5" spans="3:32">
      <c r="C270" s="8" t="s">
        <v>221</v>
      </c>
      <c r="D270" s="8"/>
      <c r="E270" s="201">
        <f>E262+E263+E265+E266+E267+E268+E269+E264</f>
        <v>281.411</v>
      </c>
      <c r="F270" s="369">
        <f t="shared" ref="F270:K270" si="412">F262+F263+F265+F266+F267+F268+F269+F264</f>
        <v>280.601</v>
      </c>
      <c r="G270" s="369">
        <f t="shared" si="412"/>
        <v>464.8</v>
      </c>
      <c r="H270" s="369">
        <f t="shared" si="412"/>
        <v>654.4</v>
      </c>
      <c r="I270" s="369">
        <f t="shared" si="412"/>
        <v>1013.3</v>
      </c>
      <c r="J270" s="369">
        <f t="shared" si="412"/>
        <v>2884.3</v>
      </c>
      <c r="K270" s="369">
        <f t="shared" si="412"/>
        <v>3242.6</v>
      </c>
      <c r="L270" s="139"/>
      <c r="M270" s="139">
        <f>M262+M263+M265+M266+M267+M268+M269+M264</f>
        <v>3936.1</v>
      </c>
      <c r="N270" s="139"/>
      <c r="O270" s="369">
        <f>O262+O263+O265+O266+O267+O268+O269+O264</f>
        <v>4476.5</v>
      </c>
      <c r="P270" s="139"/>
      <c r="Q270" s="139">
        <f>Q262+Q263+Q265+Q266+Q267+Q268+Q269+Q264</f>
        <v>4648.2</v>
      </c>
      <c r="R270" s="139"/>
      <c r="S270" s="369">
        <f>S262+S263+S265+S266+S267+S268+S269+S264</f>
        <v>4674.9</v>
      </c>
      <c r="T270" s="249"/>
      <c r="U270" s="139">
        <f>U262+U263+U265+U266+U267+U268+U269+U264</f>
        <v>4694.1</v>
      </c>
      <c r="V270" s="139"/>
      <c r="W270" s="369">
        <f>W262+W263+W265+W266+W267+W268+W269+W264</f>
        <v>5003.2</v>
      </c>
      <c r="X270" s="249"/>
      <c r="Y270" s="139">
        <f>Y262+Y263+Y265+Y266+Y267+Y268+Y269+Y264</f>
        <v>6057.2</v>
      </c>
      <c r="Z270" s="139"/>
      <c r="AA270" s="405"/>
      <c r="AB270" s="405"/>
      <c r="AC270" s="405"/>
      <c r="AD270" s="405"/>
      <c r="AE270" s="405"/>
      <c r="AF270" s="405"/>
    </row>
    <row r="271" ht="18.5" spans="3:32">
      <c r="C271" s="8"/>
      <c r="D271" s="8"/>
      <c r="E271" s="204"/>
      <c r="F271" s="193"/>
      <c r="G271" s="193"/>
      <c r="H271" s="206"/>
      <c r="I271" s="236"/>
      <c r="J271" s="236"/>
      <c r="K271" s="236"/>
      <c r="L271" s="249"/>
      <c r="M271" s="249"/>
      <c r="N271" s="249"/>
      <c r="O271" s="236"/>
      <c r="P271" s="249"/>
      <c r="Q271" s="249"/>
      <c r="R271" s="249"/>
      <c r="S271" s="236"/>
      <c r="T271" s="249"/>
      <c r="U271" s="249"/>
      <c r="V271" s="249"/>
      <c r="W271" s="236"/>
      <c r="X271" s="249"/>
      <c r="Y271" s="249"/>
      <c r="Z271" s="249"/>
      <c r="AA271" s="188"/>
      <c r="AB271" s="188"/>
      <c r="AC271" s="188"/>
      <c r="AD271" s="188"/>
      <c r="AE271" s="188"/>
      <c r="AF271" s="188"/>
    </row>
    <row r="272" s="151" customFormat="1" ht="18.5" spans="3:32">
      <c r="C272" s="8" t="s">
        <v>222</v>
      </c>
      <c r="D272" s="8"/>
      <c r="E272" s="201">
        <f t="shared" ref="E272:K272" si="413">E260+E270</f>
        <v>681.67</v>
      </c>
      <c r="F272" s="369">
        <f t="shared" si="413"/>
        <v>791.296</v>
      </c>
      <c r="G272" s="369">
        <f t="shared" si="413"/>
        <v>1178.9</v>
      </c>
      <c r="H272" s="369">
        <f t="shared" si="413"/>
        <v>1626.2</v>
      </c>
      <c r="I272" s="369">
        <f t="shared" si="413"/>
        <v>2205.5</v>
      </c>
      <c r="J272" s="369">
        <f t="shared" si="413"/>
        <v>4345.9</v>
      </c>
      <c r="K272" s="369">
        <f t="shared" si="413"/>
        <v>5161.9</v>
      </c>
      <c r="L272" s="139"/>
      <c r="M272" s="139">
        <f>M260+M270</f>
        <v>6452.2</v>
      </c>
      <c r="N272" s="139"/>
      <c r="O272" s="369">
        <f>O260+O270</f>
        <v>7153</v>
      </c>
      <c r="P272" s="139"/>
      <c r="Q272" s="109">
        <f>Q270+Q260</f>
        <v>7712.3</v>
      </c>
      <c r="R272" s="109"/>
      <c r="S272" s="369">
        <f>S260+S270</f>
        <v>8110.6</v>
      </c>
      <c r="T272" s="249"/>
      <c r="U272" s="109">
        <f>U270+U260</f>
        <v>8095.3</v>
      </c>
      <c r="V272" s="109"/>
      <c r="W272" s="201">
        <f>W270+W260</f>
        <v>8046.2</v>
      </c>
      <c r="X272" s="142"/>
      <c r="Y272" s="109">
        <f>Y270+Y260</f>
        <v>9350.4</v>
      </c>
      <c r="Z272" s="109"/>
      <c r="AA272" s="405"/>
      <c r="AB272" s="405"/>
      <c r="AC272" s="405"/>
      <c r="AD272" s="405"/>
      <c r="AE272" s="405"/>
      <c r="AF272" s="405"/>
    </row>
    <row r="273" ht="18.5" spans="3:32">
      <c r="C273" s="344"/>
      <c r="D273" s="344"/>
      <c r="E273" s="370"/>
      <c r="F273" s="330"/>
      <c r="G273" s="330"/>
      <c r="H273" s="330"/>
      <c r="I273" s="354"/>
      <c r="J273" s="354"/>
      <c r="K273" s="354"/>
      <c r="L273" s="3"/>
      <c r="M273" s="3"/>
      <c r="N273" s="3"/>
      <c r="O273" s="354"/>
      <c r="P273" s="3"/>
      <c r="Q273" s="3"/>
      <c r="R273" s="3"/>
      <c r="S273" s="354"/>
      <c r="T273" s="3"/>
      <c r="U273" s="3"/>
      <c r="V273" s="3"/>
      <c r="W273" s="354"/>
      <c r="X273" s="3"/>
      <c r="Y273" s="3"/>
      <c r="Z273" s="3"/>
      <c r="AA273" s="188"/>
      <c r="AB273" s="188"/>
      <c r="AC273" s="188"/>
      <c r="AD273" s="188"/>
      <c r="AE273" s="188"/>
      <c r="AF273" s="188"/>
    </row>
    <row r="274" ht="18.5" spans="3:32">
      <c r="C274" s="2" t="s">
        <v>223</v>
      </c>
      <c r="D274" s="2"/>
      <c r="E274" s="204">
        <v>36.713</v>
      </c>
      <c r="F274" s="357">
        <v>6.301</v>
      </c>
      <c r="G274" s="357">
        <v>31.5</v>
      </c>
      <c r="H274" s="357">
        <v>26.8</v>
      </c>
      <c r="I274" s="357">
        <v>63.8</v>
      </c>
      <c r="J274" s="193">
        <v>20.4</v>
      </c>
      <c r="K274" s="357">
        <v>120.9</v>
      </c>
      <c r="L274" s="358"/>
      <c r="M274" s="358">
        <v>275.3</v>
      </c>
      <c r="N274" s="358"/>
      <c r="O274" s="357">
        <v>72.6</v>
      </c>
      <c r="P274" s="358"/>
      <c r="Q274" s="358">
        <v>83</v>
      </c>
      <c r="R274" s="358"/>
      <c r="S274" s="357">
        <v>75.2</v>
      </c>
      <c r="T274" s="399"/>
      <c r="U274" s="399">
        <v>82.2</v>
      </c>
      <c r="V274" s="399"/>
      <c r="W274" s="357">
        <v>92.9</v>
      </c>
      <c r="X274" s="400"/>
      <c r="Y274" s="2">
        <v>92.6</v>
      </c>
      <c r="AA274" s="188"/>
      <c r="AB274" s="188"/>
      <c r="AC274" s="188"/>
      <c r="AD274" s="188"/>
      <c r="AE274" s="188"/>
      <c r="AF274" s="188"/>
    </row>
    <row r="275" ht="18.5" spans="3:32">
      <c r="C275" s="2" t="s">
        <v>224</v>
      </c>
      <c r="D275" s="2"/>
      <c r="E275" s="204">
        <v>0</v>
      </c>
      <c r="F275" s="193">
        <v>0</v>
      </c>
      <c r="G275" s="193">
        <v>0</v>
      </c>
      <c r="H275" s="193">
        <v>0</v>
      </c>
      <c r="I275" s="357">
        <v>0</v>
      </c>
      <c r="J275" s="193">
        <v>285</v>
      </c>
      <c r="K275" s="357">
        <v>301.8</v>
      </c>
      <c r="L275" s="358"/>
      <c r="M275" s="358">
        <v>291.6</v>
      </c>
      <c r="N275" s="358"/>
      <c r="O275" s="357">
        <v>384.6</v>
      </c>
      <c r="P275" s="358"/>
      <c r="Q275" s="358">
        <v>395.8</v>
      </c>
      <c r="R275" s="358"/>
      <c r="S275" s="357">
        <v>430.1</v>
      </c>
      <c r="T275" s="399"/>
      <c r="U275" s="399">
        <v>445.5</v>
      </c>
      <c r="V275" s="399"/>
      <c r="W275" s="357">
        <v>415.9</v>
      </c>
      <c r="X275" s="400"/>
      <c r="Y275" s="2">
        <v>501.2</v>
      </c>
      <c r="AA275" s="188"/>
      <c r="AB275" s="188"/>
      <c r="AC275" s="188"/>
      <c r="AD275" s="188"/>
      <c r="AE275" s="188"/>
      <c r="AF275" s="188"/>
    </row>
    <row r="276" ht="18.5" spans="3:32">
      <c r="C276" s="3" t="s">
        <v>225</v>
      </c>
      <c r="D276" s="3"/>
      <c r="E276" s="221">
        <v>274.006</v>
      </c>
      <c r="F276" s="357">
        <v>324.964</v>
      </c>
      <c r="G276" s="357">
        <v>469.1</v>
      </c>
      <c r="H276" s="357">
        <v>623.2</v>
      </c>
      <c r="I276" s="357">
        <v>808.1</v>
      </c>
      <c r="J276" s="193">
        <v>900.7</v>
      </c>
      <c r="K276" s="357">
        <v>1102</v>
      </c>
      <c r="L276" s="358"/>
      <c r="M276" s="358">
        <v>1243.7</v>
      </c>
      <c r="N276" s="358"/>
      <c r="O276" s="357">
        <v>1279.5</v>
      </c>
      <c r="P276" s="358"/>
      <c r="Q276" s="358">
        <v>1406.9</v>
      </c>
      <c r="R276" s="358"/>
      <c r="S276" s="357">
        <v>1471.2</v>
      </c>
      <c r="T276" s="399"/>
      <c r="U276" s="399">
        <v>1439.4</v>
      </c>
      <c r="V276" s="399"/>
      <c r="W276" s="357">
        <v>1446.1</v>
      </c>
      <c r="X276" s="400"/>
      <c r="Y276" s="2">
        <v>1488.8</v>
      </c>
      <c r="AA276" s="188"/>
      <c r="AB276" s="188"/>
      <c r="AC276" s="188"/>
      <c r="AD276" s="188"/>
      <c r="AE276" s="188"/>
      <c r="AF276" s="188"/>
    </row>
    <row r="277" ht="18.5" spans="3:32">
      <c r="C277" s="3" t="s">
        <v>226</v>
      </c>
      <c r="D277" s="3"/>
      <c r="E277" s="221">
        <v>0</v>
      </c>
      <c r="F277" s="354">
        <v>0</v>
      </c>
      <c r="G277" s="354">
        <v>0</v>
      </c>
      <c r="H277" s="354">
        <v>0</v>
      </c>
      <c r="I277" s="354">
        <v>0</v>
      </c>
      <c r="J277" s="354">
        <v>0</v>
      </c>
      <c r="K277" s="354">
        <v>0</v>
      </c>
      <c r="L277" s="358"/>
      <c r="M277" s="358">
        <v>0</v>
      </c>
      <c r="N277" s="358"/>
      <c r="O277" s="357">
        <v>97.1</v>
      </c>
      <c r="P277" s="358"/>
      <c r="Q277" s="358">
        <v>0</v>
      </c>
      <c r="R277" s="358"/>
      <c r="S277" s="357">
        <v>184</v>
      </c>
      <c r="T277" s="399"/>
      <c r="U277" s="399">
        <v>495.5</v>
      </c>
      <c r="V277" s="399"/>
      <c r="W277" s="357">
        <v>0</v>
      </c>
      <c r="X277" s="400"/>
      <c r="Y277" s="2">
        <v>206.5</v>
      </c>
      <c r="AA277" s="188"/>
      <c r="AB277" s="188"/>
      <c r="AC277" s="188"/>
      <c r="AD277" s="188"/>
      <c r="AE277" s="188"/>
      <c r="AF277" s="188"/>
    </row>
    <row r="278" ht="18.5" spans="3:32">
      <c r="C278" s="3" t="s">
        <v>227</v>
      </c>
      <c r="D278" s="3"/>
      <c r="E278" s="221">
        <v>0</v>
      </c>
      <c r="F278" s="354">
        <v>0</v>
      </c>
      <c r="G278" s="354">
        <v>0</v>
      </c>
      <c r="H278" s="354">
        <v>0</v>
      </c>
      <c r="I278" s="354">
        <v>0</v>
      </c>
      <c r="J278" s="354">
        <v>0</v>
      </c>
      <c r="K278" s="357">
        <v>0</v>
      </c>
      <c r="L278" s="358"/>
      <c r="M278" s="358">
        <v>0</v>
      </c>
      <c r="N278" s="358"/>
      <c r="O278" s="357">
        <v>0</v>
      </c>
      <c r="P278" s="358"/>
      <c r="Q278" s="358">
        <v>139.2</v>
      </c>
      <c r="R278" s="358"/>
      <c r="S278" s="357">
        <v>0</v>
      </c>
      <c r="T278" s="399"/>
      <c r="U278" s="399">
        <v>0</v>
      </c>
      <c r="V278" s="399"/>
      <c r="W278" s="357">
        <v>0</v>
      </c>
      <c r="X278" s="400"/>
      <c r="Y278" s="400">
        <v>0</v>
      </c>
      <c r="Z278" s="400"/>
      <c r="AA278" s="188"/>
      <c r="AB278" s="188"/>
      <c r="AC278" s="188"/>
      <c r="AD278" s="188"/>
      <c r="AE278" s="188"/>
      <c r="AF278" s="188"/>
    </row>
    <row r="279" ht="18.5" spans="3:32">
      <c r="C279" s="2" t="s">
        <v>228</v>
      </c>
      <c r="D279" s="2"/>
      <c r="E279" s="204">
        <v>3.098</v>
      </c>
      <c r="F279" s="357">
        <v>1.132</v>
      </c>
      <c r="G279" s="357">
        <v>1</v>
      </c>
      <c r="H279" s="357">
        <v>2.1</v>
      </c>
      <c r="I279" s="357">
        <v>1.3</v>
      </c>
      <c r="J279" s="193">
        <v>0</v>
      </c>
      <c r="K279" s="357">
        <v>0.7</v>
      </c>
      <c r="L279" s="358"/>
      <c r="M279" s="358">
        <v>0.6</v>
      </c>
      <c r="N279" s="358"/>
      <c r="O279" s="357">
        <v>13.2</v>
      </c>
      <c r="P279" s="358"/>
      <c r="Q279" s="358">
        <v>13</v>
      </c>
      <c r="R279" s="358"/>
      <c r="S279" s="357">
        <v>9.7</v>
      </c>
      <c r="T279" s="399"/>
      <c r="U279" s="399">
        <v>7.7</v>
      </c>
      <c r="V279" s="399"/>
      <c r="W279" s="357">
        <v>7.5</v>
      </c>
      <c r="X279" s="400"/>
      <c r="Y279" s="400">
        <v>13.3</v>
      </c>
      <c r="Z279" s="400"/>
      <c r="AA279" s="188"/>
      <c r="AB279" s="188"/>
      <c r="AC279" s="188"/>
      <c r="AD279" s="188"/>
      <c r="AE279" s="188"/>
      <c r="AF279" s="188"/>
    </row>
    <row r="280" ht="18.5" spans="3:32">
      <c r="C280" s="2" t="s">
        <v>229</v>
      </c>
      <c r="D280" s="2"/>
      <c r="E280" s="204">
        <v>12.931</v>
      </c>
      <c r="F280" s="357">
        <v>15.757</v>
      </c>
      <c r="G280" s="357">
        <v>33.6</v>
      </c>
      <c r="H280" s="357">
        <v>30.2</v>
      </c>
      <c r="I280" s="357">
        <v>27.3</v>
      </c>
      <c r="J280" s="193">
        <v>34.3</v>
      </c>
      <c r="K280" s="357">
        <v>29.5</v>
      </c>
      <c r="L280" s="358"/>
      <c r="M280" s="358">
        <v>5.2</v>
      </c>
      <c r="N280" s="358"/>
      <c r="O280" s="357">
        <v>0</v>
      </c>
      <c r="P280" s="358"/>
      <c r="Q280" s="358">
        <v>4.3</v>
      </c>
      <c r="R280" s="358"/>
      <c r="S280" s="357">
        <v>17.5</v>
      </c>
      <c r="T280" s="399"/>
      <c r="U280" s="399">
        <v>2.3</v>
      </c>
      <c r="V280" s="399"/>
      <c r="W280" s="357">
        <v>25.9</v>
      </c>
      <c r="X280" s="400"/>
      <c r="Y280" s="400">
        <v>14.2</v>
      </c>
      <c r="Z280" s="400"/>
      <c r="AA280" s="188"/>
      <c r="AB280" s="188"/>
      <c r="AC280" s="188"/>
      <c r="AD280" s="188"/>
      <c r="AE280" s="188"/>
      <c r="AF280" s="188"/>
    </row>
    <row r="281" ht="18.5" spans="3:32">
      <c r="C281" s="2" t="s">
        <v>230</v>
      </c>
      <c r="D281" s="2"/>
      <c r="E281" s="204">
        <v>0</v>
      </c>
      <c r="F281" s="193">
        <v>0</v>
      </c>
      <c r="G281" s="193">
        <v>0</v>
      </c>
      <c r="H281" s="193">
        <v>0</v>
      </c>
      <c r="I281" s="193">
        <v>0</v>
      </c>
      <c r="J281" s="193">
        <v>0</v>
      </c>
      <c r="K281" s="193">
        <v>0</v>
      </c>
      <c r="L281" s="358"/>
      <c r="M281" s="358">
        <v>0</v>
      </c>
      <c r="N281" s="358"/>
      <c r="O281" s="357">
        <v>142.6</v>
      </c>
      <c r="P281" s="358"/>
      <c r="Q281" s="358">
        <v>0</v>
      </c>
      <c r="R281" s="358"/>
      <c r="S281" s="357">
        <v>165.6</v>
      </c>
      <c r="T281" s="399"/>
      <c r="U281" s="399">
        <v>39.3</v>
      </c>
      <c r="V281" s="399"/>
      <c r="W281" s="357">
        <v>8.2</v>
      </c>
      <c r="X281" s="400"/>
      <c r="Y281" s="400">
        <v>0</v>
      </c>
      <c r="Z281" s="400"/>
      <c r="AA281" s="188"/>
      <c r="AB281" s="188"/>
      <c r="AC281" s="188"/>
      <c r="AD281" s="188"/>
      <c r="AE281" s="188"/>
      <c r="AF281" s="188"/>
    </row>
    <row r="282" s="151" customFormat="1" ht="18.5" spans="3:32">
      <c r="C282" s="8" t="s">
        <v>231</v>
      </c>
      <c r="D282" s="8"/>
      <c r="E282" s="371">
        <f>E274+E275+E276+E278+E279+E280+E277+E281</f>
        <v>326.748</v>
      </c>
      <c r="F282" s="372">
        <f t="shared" ref="F282:K282" si="414">F274+F275+F276+F278+F279+F280+F277+F281</f>
        <v>348.154</v>
      </c>
      <c r="G282" s="372">
        <f t="shared" si="414"/>
        <v>535.2</v>
      </c>
      <c r="H282" s="372">
        <f t="shared" si="414"/>
        <v>682.3</v>
      </c>
      <c r="I282" s="372">
        <f t="shared" si="414"/>
        <v>900.5</v>
      </c>
      <c r="J282" s="372">
        <f t="shared" si="414"/>
        <v>1240.4</v>
      </c>
      <c r="K282" s="372">
        <f t="shared" si="414"/>
        <v>1554.9</v>
      </c>
      <c r="L282" s="388"/>
      <c r="M282" s="388">
        <f t="shared" ref="M282:Q282" si="415">M274+M275+M276+M278+M279+M280+M277+M281</f>
        <v>1816.4</v>
      </c>
      <c r="N282" s="388"/>
      <c r="O282" s="372">
        <f t="shared" si="415"/>
        <v>1989.6</v>
      </c>
      <c r="P282" s="388"/>
      <c r="Q282" s="388">
        <f t="shared" si="415"/>
        <v>2042.2</v>
      </c>
      <c r="R282" s="388"/>
      <c r="S282" s="372">
        <f t="shared" ref="S282:U282" si="416">S274+S275+S276+S278+S279+S280+S277+S281</f>
        <v>2353.3</v>
      </c>
      <c r="T282" s="249"/>
      <c r="U282" s="388">
        <f t="shared" si="416"/>
        <v>2511.9</v>
      </c>
      <c r="V282" s="388"/>
      <c r="W282" s="372">
        <f t="shared" ref="W282:Y282" si="417">W274+W275+W276+W278+W279+W280+W277+W281</f>
        <v>1996.5</v>
      </c>
      <c r="X282" s="249"/>
      <c r="Y282" s="388">
        <f t="shared" si="417"/>
        <v>2316.6</v>
      </c>
      <c r="Z282" s="388"/>
      <c r="AA282" s="405"/>
      <c r="AB282" s="405"/>
      <c r="AC282" s="405"/>
      <c r="AD282" s="405"/>
      <c r="AE282" s="405"/>
      <c r="AF282" s="405"/>
    </row>
    <row r="283" ht="18.5" spans="3:32">
      <c r="C283" s="8"/>
      <c r="D283" s="8"/>
      <c r="E283" s="201"/>
      <c r="F283" s="206"/>
      <c r="G283" s="206"/>
      <c r="H283" s="206"/>
      <c r="I283" s="236"/>
      <c r="J283" s="236"/>
      <c r="K283" s="236"/>
      <c r="L283" s="249"/>
      <c r="M283" s="249"/>
      <c r="N283" s="249"/>
      <c r="O283" s="236"/>
      <c r="P283" s="249"/>
      <c r="Q283" s="249"/>
      <c r="R283" s="249"/>
      <c r="S283" s="236"/>
      <c r="T283" s="249"/>
      <c r="U283" s="249"/>
      <c r="V283" s="249"/>
      <c r="W283" s="236"/>
      <c r="X283" s="249"/>
      <c r="Y283" s="249"/>
      <c r="Z283" s="249"/>
      <c r="AA283" s="188"/>
      <c r="AB283" s="188"/>
      <c r="AC283" s="188"/>
      <c r="AD283" s="188"/>
      <c r="AE283" s="188"/>
      <c r="AF283" s="188"/>
    </row>
    <row r="284" ht="18.5" spans="3:32">
      <c r="C284" s="2" t="s">
        <v>223</v>
      </c>
      <c r="D284" s="2"/>
      <c r="E284" s="204">
        <v>0.374</v>
      </c>
      <c r="F284" s="345">
        <v>0.274</v>
      </c>
      <c r="G284" s="345">
        <v>2.5</v>
      </c>
      <c r="H284" s="345">
        <v>11</v>
      </c>
      <c r="I284" s="345">
        <v>62.2</v>
      </c>
      <c r="J284" s="345">
        <v>15.6</v>
      </c>
      <c r="K284" s="345">
        <v>48.1</v>
      </c>
      <c r="L284" s="356"/>
      <c r="M284" s="356">
        <v>34.3</v>
      </c>
      <c r="N284" s="356"/>
      <c r="O284" s="345">
        <v>55.5</v>
      </c>
      <c r="P284" s="356"/>
      <c r="Q284" s="356">
        <v>41.8</v>
      </c>
      <c r="R284" s="356"/>
      <c r="S284" s="345">
        <v>38</v>
      </c>
      <c r="T284" s="399"/>
      <c r="U284" s="399">
        <v>32.4</v>
      </c>
      <c r="V284" s="399"/>
      <c r="W284" s="345">
        <v>36.6</v>
      </c>
      <c r="X284" s="400"/>
      <c r="Y284" s="400">
        <v>813</v>
      </c>
      <c r="Z284" s="400"/>
      <c r="AA284" s="188"/>
      <c r="AB284" s="188"/>
      <c r="AC284" s="188"/>
      <c r="AD284" s="188"/>
      <c r="AE284" s="188"/>
      <c r="AF284" s="188"/>
    </row>
    <row r="285" ht="18.5" spans="3:32">
      <c r="C285" s="2" t="s">
        <v>224</v>
      </c>
      <c r="D285" s="2"/>
      <c r="E285" s="204">
        <v>0</v>
      </c>
      <c r="F285" s="193">
        <v>0</v>
      </c>
      <c r="G285" s="193">
        <v>0</v>
      </c>
      <c r="H285" s="193">
        <v>0</v>
      </c>
      <c r="I285" s="193">
        <v>0</v>
      </c>
      <c r="J285" s="204">
        <v>1707.7</v>
      </c>
      <c r="K285" s="193">
        <v>1628</v>
      </c>
      <c r="L285" s="356"/>
      <c r="M285" s="356">
        <v>1863.4</v>
      </c>
      <c r="N285" s="356"/>
      <c r="O285" s="345">
        <v>1901.6</v>
      </c>
      <c r="P285" s="356"/>
      <c r="Q285" s="356">
        <v>1903.4</v>
      </c>
      <c r="R285" s="356"/>
      <c r="S285" s="345">
        <v>1953.9</v>
      </c>
      <c r="T285" s="399"/>
      <c r="U285" s="399">
        <v>1963.1</v>
      </c>
      <c r="V285" s="399"/>
      <c r="W285" s="345">
        <v>2068.1</v>
      </c>
      <c r="X285" s="400"/>
      <c r="Y285" s="400">
        <v>2373.6</v>
      </c>
      <c r="Z285" s="400"/>
      <c r="AA285" s="188"/>
      <c r="AB285" s="188"/>
      <c r="AC285" s="188"/>
      <c r="AD285" s="188"/>
      <c r="AE285" s="188"/>
      <c r="AF285" s="188"/>
    </row>
    <row r="286" ht="18.5" spans="3:32">
      <c r="C286" s="2" t="s">
        <v>232</v>
      </c>
      <c r="D286" s="2"/>
      <c r="E286" s="204">
        <v>41.733</v>
      </c>
      <c r="F286" s="345">
        <v>40.834</v>
      </c>
      <c r="G286" s="345">
        <v>53.2</v>
      </c>
      <c r="H286" s="345">
        <v>91.5</v>
      </c>
      <c r="I286" s="345">
        <v>153.8</v>
      </c>
      <c r="J286" s="345">
        <v>80.5</v>
      </c>
      <c r="K286" s="345">
        <v>374.4</v>
      </c>
      <c r="L286" s="356"/>
      <c r="M286" s="356">
        <v>493.8</v>
      </c>
      <c r="N286" s="356"/>
      <c r="O286" s="345">
        <v>10.6</v>
      </c>
      <c r="P286" s="356"/>
      <c r="Q286" s="356">
        <v>916.4</v>
      </c>
      <c r="R286" s="356"/>
      <c r="S286" s="345">
        <v>102.4</v>
      </c>
      <c r="T286" s="399"/>
      <c r="U286" s="399">
        <v>85.7</v>
      </c>
      <c r="V286" s="399"/>
      <c r="W286" s="345">
        <v>155.4</v>
      </c>
      <c r="X286" s="400"/>
      <c r="Y286" s="400">
        <v>139.9</v>
      </c>
      <c r="Z286" s="400"/>
      <c r="AA286" s="188"/>
      <c r="AB286" s="188"/>
      <c r="AC286" s="188"/>
      <c r="AD286" s="188"/>
      <c r="AE286" s="188"/>
      <c r="AF286" s="188"/>
    </row>
    <row r="287" ht="18.5" spans="3:32">
      <c r="C287" s="3" t="s">
        <v>226</v>
      </c>
      <c r="D287" s="2"/>
      <c r="E287" s="204">
        <v>0</v>
      </c>
      <c r="F287" s="193">
        <v>0</v>
      </c>
      <c r="G287" s="193">
        <v>0</v>
      </c>
      <c r="H287" s="193">
        <v>0</v>
      </c>
      <c r="I287" s="193">
        <v>0</v>
      </c>
      <c r="J287" s="193">
        <v>0</v>
      </c>
      <c r="K287" s="193">
        <v>0</v>
      </c>
      <c r="L287" s="356"/>
      <c r="M287" s="356">
        <v>0</v>
      </c>
      <c r="N287" s="356"/>
      <c r="O287" s="345">
        <v>762</v>
      </c>
      <c r="P287" s="356"/>
      <c r="Q287" s="356">
        <v>0</v>
      </c>
      <c r="R287" s="356"/>
      <c r="S287" s="345">
        <v>920.3</v>
      </c>
      <c r="T287" s="399"/>
      <c r="U287" s="399">
        <v>824.6</v>
      </c>
      <c r="V287" s="399"/>
      <c r="W287" s="345">
        <v>809.8</v>
      </c>
      <c r="X287" s="400"/>
      <c r="Y287" s="400">
        <v>714.3</v>
      </c>
      <c r="Z287" s="400"/>
      <c r="AA287" s="188"/>
      <c r="AB287" s="188"/>
      <c r="AC287" s="188"/>
      <c r="AD287" s="188"/>
      <c r="AE287" s="188"/>
      <c r="AF287" s="188"/>
    </row>
    <row r="288" ht="18.5" spans="3:32">
      <c r="C288" s="2" t="s">
        <v>228</v>
      </c>
      <c r="D288" s="2"/>
      <c r="E288" s="204">
        <v>1.02</v>
      </c>
      <c r="F288" s="345">
        <v>1.209</v>
      </c>
      <c r="G288" s="345">
        <v>1</v>
      </c>
      <c r="H288" s="345">
        <v>1.8</v>
      </c>
      <c r="I288" s="345">
        <v>1.2</v>
      </c>
      <c r="J288" s="345">
        <v>0</v>
      </c>
      <c r="K288" s="345">
        <v>5.1</v>
      </c>
      <c r="L288" s="356"/>
      <c r="M288" s="356">
        <v>4.6</v>
      </c>
      <c r="N288" s="356"/>
      <c r="O288" s="345">
        <v>19.9</v>
      </c>
      <c r="P288" s="356"/>
      <c r="Q288" s="356">
        <v>22.7</v>
      </c>
      <c r="R288" s="356"/>
      <c r="S288" s="345">
        <v>21.1</v>
      </c>
      <c r="T288" s="399"/>
      <c r="U288" s="399">
        <v>25.1</v>
      </c>
      <c r="V288" s="399"/>
      <c r="W288" s="345">
        <v>21.7</v>
      </c>
      <c r="X288" s="400"/>
      <c r="Y288" s="400">
        <v>21.5</v>
      </c>
      <c r="Z288" s="400"/>
      <c r="AA288" s="188"/>
      <c r="AB288" s="188"/>
      <c r="AC288" s="188"/>
      <c r="AD288" s="188"/>
      <c r="AE288" s="188"/>
      <c r="AF288" s="188"/>
    </row>
    <row r="289" ht="18.5" spans="3:32">
      <c r="C289" s="2" t="s">
        <v>233</v>
      </c>
      <c r="D289" s="2"/>
      <c r="E289" s="204">
        <v>1.804</v>
      </c>
      <c r="F289" s="345">
        <v>0</v>
      </c>
      <c r="G289" s="345">
        <v>8.2</v>
      </c>
      <c r="H289" s="345">
        <v>5.3</v>
      </c>
      <c r="I289" s="345">
        <v>11</v>
      </c>
      <c r="J289" s="345">
        <v>12.5</v>
      </c>
      <c r="K289" s="345">
        <v>55</v>
      </c>
      <c r="L289" s="356"/>
      <c r="M289" s="356">
        <v>62</v>
      </c>
      <c r="N289" s="356"/>
      <c r="O289" s="345">
        <v>127.4</v>
      </c>
      <c r="P289" s="356"/>
      <c r="Q289" s="356">
        <v>124.6</v>
      </c>
      <c r="R289" s="356"/>
      <c r="S289" s="345">
        <v>90.2</v>
      </c>
      <c r="T289" s="399"/>
      <c r="U289" s="399">
        <v>109.8</v>
      </c>
      <c r="V289" s="399"/>
      <c r="W289" s="345">
        <v>89.7</v>
      </c>
      <c r="X289" s="400"/>
      <c r="Y289" s="400">
        <v>134</v>
      </c>
      <c r="Z289" s="400"/>
      <c r="AA289" s="188"/>
      <c r="AB289" s="188"/>
      <c r="AC289" s="188"/>
      <c r="AD289" s="188"/>
      <c r="AE289" s="188"/>
      <c r="AF289" s="188"/>
    </row>
    <row r="290" s="151" customFormat="1" ht="18.5" spans="3:32">
      <c r="C290" s="8" t="s">
        <v>234</v>
      </c>
      <c r="D290" s="8"/>
      <c r="E290" s="201">
        <f>E284+E285+E286+E288+E289+E287</f>
        <v>44.931</v>
      </c>
      <c r="F290" s="369">
        <f t="shared" ref="F290:K290" si="418">F284+F285+F286+F288+F289+F287</f>
        <v>42.317</v>
      </c>
      <c r="G290" s="369">
        <f t="shared" si="418"/>
        <v>64.9</v>
      </c>
      <c r="H290" s="369">
        <f t="shared" si="418"/>
        <v>109.6</v>
      </c>
      <c r="I290" s="369">
        <f t="shared" si="418"/>
        <v>228.2</v>
      </c>
      <c r="J290" s="369">
        <f t="shared" si="418"/>
        <v>1816.3</v>
      </c>
      <c r="K290" s="369">
        <f t="shared" si="418"/>
        <v>2110.6</v>
      </c>
      <c r="L290" s="139"/>
      <c r="M290" s="139">
        <f t="shared" ref="M290:Q290" si="419">M284+M285+M286+M288+M289+M287</f>
        <v>2458.1</v>
      </c>
      <c r="N290" s="139"/>
      <c r="O290" s="369">
        <f t="shared" si="419"/>
        <v>2877</v>
      </c>
      <c r="P290" s="139"/>
      <c r="Q290" s="139">
        <f t="shared" si="419"/>
        <v>3008.9</v>
      </c>
      <c r="R290" s="139"/>
      <c r="S290" s="369">
        <f t="shared" ref="S290:U290" si="420">S284+S285+S286+S288+S289+S287</f>
        <v>3125.9</v>
      </c>
      <c r="T290" s="249"/>
      <c r="U290" s="139">
        <f t="shared" si="420"/>
        <v>3040.7</v>
      </c>
      <c r="V290" s="139"/>
      <c r="W290" s="369">
        <f t="shared" ref="W290" si="421">W284+W285+W286+W288+W289+W287</f>
        <v>3181.3</v>
      </c>
      <c r="X290" s="249"/>
      <c r="Y290" s="139">
        <f t="shared" ref="Y290" si="422">Y284+Y285+Y286+Y288+Y289+Y287</f>
        <v>4196.3</v>
      </c>
      <c r="Z290" s="139"/>
      <c r="AA290" s="405"/>
      <c r="AB290" s="405"/>
      <c r="AC290" s="405"/>
      <c r="AD290" s="405"/>
      <c r="AE290" s="405"/>
      <c r="AF290" s="405"/>
    </row>
    <row r="291" ht="18.5" spans="3:32">
      <c r="C291" s="8"/>
      <c r="D291" s="8"/>
      <c r="E291" s="201"/>
      <c r="F291" s="206"/>
      <c r="G291" s="206"/>
      <c r="H291" s="206"/>
      <c r="I291" s="236"/>
      <c r="J291" s="236"/>
      <c r="K291" s="236"/>
      <c r="L291" s="249"/>
      <c r="M291" s="249"/>
      <c r="N291" s="249"/>
      <c r="O291" s="236"/>
      <c r="P291" s="249"/>
      <c r="Q291" s="249"/>
      <c r="R291" s="249"/>
      <c r="S291" s="236"/>
      <c r="T291" s="249"/>
      <c r="U291" s="249"/>
      <c r="V291" s="249"/>
      <c r="W291" s="236"/>
      <c r="X291" s="249"/>
      <c r="Y291" s="249"/>
      <c r="Z291" s="249"/>
      <c r="AA291" s="188"/>
      <c r="AB291" s="188"/>
      <c r="AC291" s="188"/>
      <c r="AD291" s="188"/>
      <c r="AE291" s="188"/>
      <c r="AF291" s="188"/>
    </row>
    <row r="292" s="151" customFormat="1" ht="18.5" spans="3:32">
      <c r="C292" s="8" t="s">
        <v>235</v>
      </c>
      <c r="D292" s="8"/>
      <c r="E292" s="201">
        <f t="shared" ref="E292:S292" si="423">E282+E290</f>
        <v>371.679</v>
      </c>
      <c r="F292" s="369">
        <f t="shared" si="423"/>
        <v>390.471</v>
      </c>
      <c r="G292" s="369">
        <f t="shared" si="423"/>
        <v>600.1</v>
      </c>
      <c r="H292" s="369">
        <f t="shared" si="423"/>
        <v>791.9</v>
      </c>
      <c r="I292" s="369">
        <f t="shared" si="423"/>
        <v>1128.7</v>
      </c>
      <c r="J292" s="369">
        <f t="shared" si="423"/>
        <v>3056.7</v>
      </c>
      <c r="K292" s="369">
        <f t="shared" si="423"/>
        <v>3665.5</v>
      </c>
      <c r="L292" s="139"/>
      <c r="M292" s="139">
        <f t="shared" si="423"/>
        <v>4274.5</v>
      </c>
      <c r="N292" s="139"/>
      <c r="O292" s="369">
        <f t="shared" si="423"/>
        <v>4866.6</v>
      </c>
      <c r="P292" s="139"/>
      <c r="Q292" s="109">
        <f t="shared" ref="Q292" si="424">Q282+Q290</f>
        <v>5051.1</v>
      </c>
      <c r="R292" s="109"/>
      <c r="S292" s="369">
        <f t="shared" si="423"/>
        <v>5479.2</v>
      </c>
      <c r="T292" s="249"/>
      <c r="U292" s="109">
        <f t="shared" ref="U292:Y292" si="425">U282+U290</f>
        <v>5552.6</v>
      </c>
      <c r="V292" s="109"/>
      <c r="W292" s="201">
        <f t="shared" si="425"/>
        <v>5177.8</v>
      </c>
      <c r="X292" s="142"/>
      <c r="Y292" s="109">
        <f t="shared" si="425"/>
        <v>6512.9</v>
      </c>
      <c r="Z292" s="109"/>
      <c r="AA292" s="405"/>
      <c r="AB292" s="405"/>
      <c r="AC292" s="405"/>
      <c r="AD292" s="405"/>
      <c r="AE292" s="405"/>
      <c r="AF292" s="405"/>
    </row>
    <row r="293" ht="18.5" spans="3:32">
      <c r="C293" s="344"/>
      <c r="D293" s="344"/>
      <c r="E293" s="370"/>
      <c r="F293" s="373"/>
      <c r="G293" s="330"/>
      <c r="H293" s="330"/>
      <c r="I293" s="354"/>
      <c r="J293" s="354"/>
      <c r="K293" s="354"/>
      <c r="L293" s="3"/>
      <c r="M293" s="3"/>
      <c r="N293" s="3"/>
      <c r="O293" s="354"/>
      <c r="P293" s="3"/>
      <c r="Q293" s="3"/>
      <c r="R293" s="3"/>
      <c r="S293" s="354"/>
      <c r="T293" s="3"/>
      <c r="U293" s="3"/>
      <c r="V293" s="3"/>
      <c r="W293" s="354"/>
      <c r="X293" s="3"/>
      <c r="Y293" s="3"/>
      <c r="Z293" s="3"/>
      <c r="AA293" s="188"/>
      <c r="AB293" s="188"/>
      <c r="AC293" s="188"/>
      <c r="AD293" s="188"/>
      <c r="AE293" s="188"/>
      <c r="AF293" s="188"/>
    </row>
    <row r="294" ht="18.5" spans="3:32">
      <c r="C294" s="2" t="s">
        <v>236</v>
      </c>
      <c r="D294" s="2"/>
      <c r="E294" s="204">
        <v>2.433</v>
      </c>
      <c r="F294" s="345">
        <v>2.433</v>
      </c>
      <c r="G294" s="345">
        <v>2.4</v>
      </c>
      <c r="H294" s="345">
        <v>2.4</v>
      </c>
      <c r="I294" s="345">
        <v>2.4</v>
      </c>
      <c r="J294" s="345">
        <v>2.4</v>
      </c>
      <c r="K294" s="345">
        <v>2.4</v>
      </c>
      <c r="L294" s="356"/>
      <c r="M294" s="389">
        <v>2.5</v>
      </c>
      <c r="N294" s="389"/>
      <c r="O294" s="345">
        <v>2.5</v>
      </c>
      <c r="P294" s="356"/>
      <c r="Q294" s="389">
        <v>2.5</v>
      </c>
      <c r="R294" s="389"/>
      <c r="S294" s="345">
        <v>2.5</v>
      </c>
      <c r="T294" s="361"/>
      <c r="U294" s="389">
        <v>2.5</v>
      </c>
      <c r="V294" s="389"/>
      <c r="W294" s="345">
        <v>2.5</v>
      </c>
      <c r="X294" s="361"/>
      <c r="Y294" s="389">
        <v>2.5</v>
      </c>
      <c r="Z294" s="389"/>
      <c r="AA294" s="188"/>
      <c r="AB294" s="188"/>
      <c r="AC294" s="188"/>
      <c r="AD294" s="188"/>
      <c r="AE294" s="188"/>
      <c r="AF294" s="188"/>
    </row>
    <row r="295" ht="18.5" spans="3:32">
      <c r="C295" s="333" t="s">
        <v>237</v>
      </c>
      <c r="D295" s="2"/>
      <c r="E295" s="204">
        <v>11.659</v>
      </c>
      <c r="F295" s="345">
        <v>11.659</v>
      </c>
      <c r="G295" s="345">
        <v>11.7</v>
      </c>
      <c r="H295" s="345">
        <v>11.7</v>
      </c>
      <c r="I295" s="345">
        <v>11.7</v>
      </c>
      <c r="J295" s="345">
        <v>11.7</v>
      </c>
      <c r="K295" s="345">
        <v>11.7</v>
      </c>
      <c r="L295" s="356"/>
      <c r="M295" s="389">
        <v>467.5</v>
      </c>
      <c r="N295" s="389"/>
      <c r="O295" s="345">
        <v>467.5</v>
      </c>
      <c r="P295" s="356"/>
      <c r="Q295" s="389">
        <v>467.5</v>
      </c>
      <c r="R295" s="389"/>
      <c r="S295" s="345">
        <v>467.5</v>
      </c>
      <c r="T295" s="361"/>
      <c r="U295" s="389">
        <v>467.5</v>
      </c>
      <c r="V295" s="389"/>
      <c r="W295" s="345">
        <v>467.5</v>
      </c>
      <c r="X295" s="111"/>
      <c r="Y295" s="389">
        <v>467.5</v>
      </c>
      <c r="Z295" s="389"/>
      <c r="AA295" s="188"/>
      <c r="AB295" s="188"/>
      <c r="AC295" s="188"/>
      <c r="AD295" s="188"/>
      <c r="AE295" s="188"/>
      <c r="AF295" s="188"/>
    </row>
    <row r="296" ht="18.5" spans="3:32">
      <c r="C296" s="333" t="s">
        <v>238</v>
      </c>
      <c r="D296" s="2"/>
      <c r="E296" s="204">
        <v>297.161</v>
      </c>
      <c r="F296" s="345">
        <v>378.898</v>
      </c>
      <c r="G296" s="345">
        <v>543.3</v>
      </c>
      <c r="H296" s="345">
        <v>773.6</v>
      </c>
      <c r="I296" s="345">
        <v>1016.3</v>
      </c>
      <c r="J296" s="345">
        <v>1245.7</v>
      </c>
      <c r="K296" s="345">
        <v>1560.8</v>
      </c>
      <c r="L296" s="356"/>
      <c r="M296" s="389">
        <v>1769.6</v>
      </c>
      <c r="N296" s="389"/>
      <c r="O296" s="345">
        <v>1828</v>
      </c>
      <c r="P296" s="356"/>
      <c r="Q296" s="389">
        <v>2076.8</v>
      </c>
      <c r="R296" s="389"/>
      <c r="S296" s="345">
        <v>1974.6</v>
      </c>
      <c r="T296" s="110"/>
      <c r="U296" s="389">
        <v>2192.5</v>
      </c>
      <c r="V296" s="389"/>
      <c r="W296" s="345">
        <v>2213.8</v>
      </c>
      <c r="X296" s="110"/>
      <c r="Y296" s="389">
        <v>2180.8</v>
      </c>
      <c r="Z296" s="389"/>
      <c r="AA296" s="188"/>
      <c r="AB296" s="188"/>
      <c r="AC296" s="188"/>
      <c r="AD296" s="188"/>
      <c r="AE296" s="188"/>
      <c r="AF296" s="188"/>
    </row>
    <row r="297" ht="18.5" spans="3:32">
      <c r="C297" s="2" t="s">
        <v>239</v>
      </c>
      <c r="D297" s="2"/>
      <c r="E297" s="204">
        <v>-14.764</v>
      </c>
      <c r="F297" s="345">
        <v>-10.57</v>
      </c>
      <c r="G297" s="345">
        <v>-5.2</v>
      </c>
      <c r="H297" s="345">
        <v>-17.3</v>
      </c>
      <c r="I297" s="345">
        <v>-21.6</v>
      </c>
      <c r="J297" s="345">
        <v>-40.6</v>
      </c>
      <c r="K297" s="345">
        <v>-336.2</v>
      </c>
      <c r="L297" s="356"/>
      <c r="M297" s="73">
        <v>-418.2</v>
      </c>
      <c r="N297" s="73"/>
      <c r="O297" s="345">
        <f>0.1+1+-426.3</f>
        <v>-425.2</v>
      </c>
      <c r="P297" s="356"/>
      <c r="Q297" s="73">
        <v>-359.5</v>
      </c>
      <c r="R297" s="73"/>
      <c r="S297" s="345">
        <f>0.3+96.8+-424.6</f>
        <v>-327.5</v>
      </c>
      <c r="T297" s="65"/>
      <c r="U297" s="73">
        <f>0.5+30.9-695.4</f>
        <v>-664</v>
      </c>
      <c r="V297" s="73"/>
      <c r="W297" s="345">
        <f>2.9+70.8+-301.3</f>
        <v>-227.6</v>
      </c>
      <c r="X297" s="110"/>
      <c r="Y297" s="73">
        <f>4.2+40.7-282.5</f>
        <v>-237.6</v>
      </c>
      <c r="Z297" s="389"/>
      <c r="AA297" s="188"/>
      <c r="AB297" s="188"/>
      <c r="AC297" s="188"/>
      <c r="AD297" s="188"/>
      <c r="AE297" s="188"/>
      <c r="AF297" s="188"/>
    </row>
    <row r="298" ht="18.5" spans="3:32">
      <c r="C298" s="2" t="s">
        <v>240</v>
      </c>
      <c r="D298" s="2"/>
      <c r="E298" s="374">
        <f t="shared" ref="E298:K298" si="426">SUM(E294:E297)</f>
        <v>296.489</v>
      </c>
      <c r="F298" s="345">
        <f t="shared" si="426"/>
        <v>382.42</v>
      </c>
      <c r="G298" s="345">
        <f t="shared" si="426"/>
        <v>552.2</v>
      </c>
      <c r="H298" s="345">
        <f t="shared" si="426"/>
        <v>770.4</v>
      </c>
      <c r="I298" s="345">
        <f t="shared" si="426"/>
        <v>1008.8</v>
      </c>
      <c r="J298" s="345">
        <f t="shared" si="426"/>
        <v>1219.2</v>
      </c>
      <c r="K298" s="345">
        <f t="shared" si="426"/>
        <v>1238.7</v>
      </c>
      <c r="L298" s="356"/>
      <c r="M298" s="356">
        <f>SUM(M294:M297)</f>
        <v>1821.4</v>
      </c>
      <c r="N298" s="356"/>
      <c r="O298" s="345">
        <f>SUM(O294:O297)</f>
        <v>1872.8</v>
      </c>
      <c r="P298" s="356"/>
      <c r="Q298" s="356">
        <f>SUM(Q294:Q297)</f>
        <v>2187.3</v>
      </c>
      <c r="R298" s="356"/>
      <c r="S298" s="345">
        <f>SUM(S294:S297)</f>
        <v>2117.1</v>
      </c>
      <c r="T298" s="65"/>
      <c r="U298" s="356">
        <f>SUM(U294:U297)</f>
        <v>1998.5</v>
      </c>
      <c r="V298" s="356"/>
      <c r="W298" s="345">
        <f>SUM(W294:W297)</f>
        <v>2456.2</v>
      </c>
      <c r="X298" s="110"/>
      <c r="Y298" s="356">
        <f>SUM(Y294:Y297)</f>
        <v>2413.2</v>
      </c>
      <c r="Z298" s="356"/>
      <c r="AA298" s="188"/>
      <c r="AB298" s="188"/>
      <c r="AC298" s="188"/>
      <c r="AD298" s="188"/>
      <c r="AE298" s="188"/>
      <c r="AF298" s="188"/>
    </row>
    <row r="299" ht="18.5" spans="3:32">
      <c r="C299" s="2" t="s">
        <v>241</v>
      </c>
      <c r="D299" s="2"/>
      <c r="E299" s="204">
        <v>13.502</v>
      </c>
      <c r="F299" s="345">
        <v>18.405</v>
      </c>
      <c r="G299" s="345">
        <v>26.6</v>
      </c>
      <c r="H299" s="345">
        <v>63.9</v>
      </c>
      <c r="I299" s="345">
        <v>68</v>
      </c>
      <c r="J299" s="345">
        <v>70</v>
      </c>
      <c r="K299" s="345">
        <v>257.7</v>
      </c>
      <c r="L299" s="356"/>
      <c r="M299" s="389">
        <v>356.3</v>
      </c>
      <c r="N299" s="389"/>
      <c r="O299" s="345">
        <v>413.6</v>
      </c>
      <c r="P299" s="356"/>
      <c r="Q299" s="389">
        <v>473.9</v>
      </c>
      <c r="R299" s="389"/>
      <c r="S299" s="345">
        <v>513.9</v>
      </c>
      <c r="T299" s="65"/>
      <c r="U299" s="389">
        <v>544.2</v>
      </c>
      <c r="V299" s="389"/>
      <c r="W299" s="345">
        <v>412.2</v>
      </c>
      <c r="X299" s="110"/>
      <c r="Y299" s="389">
        <v>424.3</v>
      </c>
      <c r="Z299" s="389"/>
      <c r="AA299" s="188"/>
      <c r="AB299" s="188"/>
      <c r="AC299" s="188"/>
      <c r="AD299" s="188"/>
      <c r="AE299" s="188"/>
      <c r="AF299" s="188"/>
    </row>
    <row r="300" s="151" customFormat="1" ht="18.5" spans="3:32">
      <c r="C300" s="8" t="s">
        <v>242</v>
      </c>
      <c r="D300" s="8"/>
      <c r="E300" s="201">
        <f>SUM(E298:E299)</f>
        <v>309.991</v>
      </c>
      <c r="F300" s="369">
        <f>SUM(F298:F299)</f>
        <v>400.825</v>
      </c>
      <c r="G300" s="369">
        <f>SUM(G298:G299)</f>
        <v>578.8</v>
      </c>
      <c r="H300" s="369">
        <f>SUM(H298:H299)</f>
        <v>834.3</v>
      </c>
      <c r="I300" s="369">
        <f t="shared" ref="I300:K300" si="427">SUM(I298:I299)</f>
        <v>1076.8</v>
      </c>
      <c r="J300" s="369">
        <f t="shared" si="427"/>
        <v>1289.2</v>
      </c>
      <c r="K300" s="369">
        <f t="shared" si="427"/>
        <v>1496.4</v>
      </c>
      <c r="L300" s="139"/>
      <c r="M300" s="139">
        <f t="shared" ref="M300:Q300" si="428">SUM(M298:M299)</f>
        <v>2177.7</v>
      </c>
      <c r="N300" s="139"/>
      <c r="O300" s="369">
        <f t="shared" si="428"/>
        <v>2286.4</v>
      </c>
      <c r="P300" s="139"/>
      <c r="Q300" s="139">
        <f t="shared" si="428"/>
        <v>2661.2</v>
      </c>
      <c r="R300" s="139"/>
      <c r="S300" s="369">
        <f t="shared" ref="S300:U300" si="429">SUM(S298:S299)</f>
        <v>2631</v>
      </c>
      <c r="T300" s="249"/>
      <c r="U300" s="139">
        <f t="shared" si="429"/>
        <v>2542.7</v>
      </c>
      <c r="V300" s="139"/>
      <c r="W300" s="369">
        <f t="shared" ref="W300:Y300" si="430">SUM(W298:W299)</f>
        <v>2868.4</v>
      </c>
      <c r="X300" s="249"/>
      <c r="Y300" s="139">
        <f t="shared" si="430"/>
        <v>2837.5</v>
      </c>
      <c r="Z300" s="139"/>
      <c r="AA300" s="405"/>
      <c r="AB300" s="405"/>
      <c r="AC300" s="405"/>
      <c r="AD300" s="405"/>
      <c r="AE300" s="405"/>
      <c r="AF300" s="405"/>
    </row>
    <row r="301" ht="18.5" spans="3:32">
      <c r="C301" s="8"/>
      <c r="D301" s="8"/>
      <c r="E301" s="201"/>
      <c r="F301" s="206"/>
      <c r="G301" s="206"/>
      <c r="H301" s="206"/>
      <c r="I301" s="390"/>
      <c r="J301" s="236"/>
      <c r="K301" s="236"/>
      <c r="L301" s="249"/>
      <c r="M301" s="249"/>
      <c r="N301" s="249"/>
      <c r="O301" s="236"/>
      <c r="P301" s="249"/>
      <c r="Q301" s="249"/>
      <c r="R301" s="249"/>
      <c r="S301" s="236"/>
      <c r="T301" s="249"/>
      <c r="U301" s="249"/>
      <c r="V301" s="249"/>
      <c r="W301" s="398"/>
      <c r="X301" s="142"/>
      <c r="Y301" s="142"/>
      <c r="Z301" s="142"/>
      <c r="AA301" s="188"/>
      <c r="AB301" s="188"/>
      <c r="AC301" s="188"/>
      <c r="AD301" s="188"/>
      <c r="AE301" s="188"/>
      <c r="AF301" s="188"/>
    </row>
    <row r="302" s="151" customFormat="1" ht="18.5" spans="3:32">
      <c r="C302" s="8" t="s">
        <v>243</v>
      </c>
      <c r="D302" s="8"/>
      <c r="E302" s="201">
        <f>E300+E292</f>
        <v>681.67</v>
      </c>
      <c r="F302" s="369">
        <f>F300+F292</f>
        <v>791.296</v>
      </c>
      <c r="G302" s="369">
        <f>G292+G300</f>
        <v>1178.9</v>
      </c>
      <c r="H302" s="369">
        <f>H292+H300</f>
        <v>1626.2</v>
      </c>
      <c r="I302" s="369">
        <f>I292+I300</f>
        <v>2205.5</v>
      </c>
      <c r="J302" s="369">
        <f>J292+J300</f>
        <v>4345.9</v>
      </c>
      <c r="K302" s="369">
        <f>K292+K300</f>
        <v>5161.9</v>
      </c>
      <c r="L302" s="139"/>
      <c r="M302" s="139">
        <f>M292+M300</f>
        <v>6452.2</v>
      </c>
      <c r="N302" s="139"/>
      <c r="O302" s="369">
        <f>O292+O300</f>
        <v>7153</v>
      </c>
      <c r="P302" s="139"/>
      <c r="Q302" s="220">
        <f>Q292+Q300</f>
        <v>7712.3</v>
      </c>
      <c r="R302" s="220"/>
      <c r="S302" s="369">
        <f>S292+S300</f>
        <v>8110.2</v>
      </c>
      <c r="T302" s="249"/>
      <c r="U302" s="139">
        <f>U292+U300</f>
        <v>8095.3</v>
      </c>
      <c r="V302" s="139"/>
      <c r="W302" s="219">
        <f>W292+W300</f>
        <v>8046.2</v>
      </c>
      <c r="X302" s="249"/>
      <c r="Y302" s="220">
        <f>Y292+Y300</f>
        <v>9350.4</v>
      </c>
      <c r="Z302" s="220"/>
      <c r="AA302" s="405"/>
      <c r="AB302" s="405"/>
      <c r="AC302" s="405"/>
      <c r="AD302" s="405"/>
      <c r="AE302" s="405"/>
      <c r="AF302" s="405"/>
    </row>
    <row r="303" ht="18.5" spans="3:32">
      <c r="C303" s="8"/>
      <c r="D303" s="8"/>
      <c r="E303" s="201"/>
      <c r="F303" s="206"/>
      <c r="G303" s="206"/>
      <c r="H303" s="206"/>
      <c r="I303" s="236"/>
      <c r="J303" s="236"/>
      <c r="K303" s="236"/>
      <c r="L303" s="249"/>
      <c r="M303" s="249"/>
      <c r="N303" s="249"/>
      <c r="O303" s="236"/>
      <c r="P303" s="249"/>
      <c r="Q303" s="249"/>
      <c r="R303" s="249"/>
      <c r="S303" s="236"/>
      <c r="T303" s="249"/>
      <c r="U303" s="249"/>
      <c r="V303" s="249"/>
      <c r="W303" s="398"/>
      <c r="X303" s="142"/>
      <c r="Y303" s="142"/>
      <c r="Z303" s="142"/>
      <c r="AA303" s="188"/>
      <c r="AB303" s="188"/>
      <c r="AC303" s="188"/>
      <c r="AD303" s="188"/>
      <c r="AE303" s="188"/>
      <c r="AF303" s="188"/>
    </row>
    <row r="304" ht="18.5" spans="3:32">
      <c r="C304" s="375" t="s">
        <v>244</v>
      </c>
      <c r="D304" s="375"/>
      <c r="E304" s="376">
        <f t="shared" ref="E304:K304" si="431">E272-E302</f>
        <v>0</v>
      </c>
      <c r="F304" s="377">
        <f t="shared" si="431"/>
        <v>0</v>
      </c>
      <c r="G304" s="377">
        <f t="shared" si="431"/>
        <v>0</v>
      </c>
      <c r="H304" s="377">
        <f t="shared" si="431"/>
        <v>0</v>
      </c>
      <c r="I304" s="377">
        <f t="shared" si="431"/>
        <v>0</v>
      </c>
      <c r="J304" s="377">
        <f t="shared" si="431"/>
        <v>0</v>
      </c>
      <c r="K304" s="377">
        <f t="shared" si="431"/>
        <v>0</v>
      </c>
      <c r="L304" s="391"/>
      <c r="M304" s="391">
        <f>M272-M302</f>
        <v>0</v>
      </c>
      <c r="N304" s="391"/>
      <c r="O304" s="377">
        <f>O272-O302</f>
        <v>0</v>
      </c>
      <c r="P304" s="391"/>
      <c r="Q304" s="401">
        <f>Q272-Q302</f>
        <v>0</v>
      </c>
      <c r="R304" s="401"/>
      <c r="S304" s="377">
        <f>S272-S302</f>
        <v>0.399999999999636</v>
      </c>
      <c r="T304" s="401"/>
      <c r="U304" s="401">
        <f>U272-U302</f>
        <v>0</v>
      </c>
      <c r="V304" s="401"/>
      <c r="W304" s="402">
        <f>W272-W302</f>
        <v>0</v>
      </c>
      <c r="X304" s="401"/>
      <c r="Y304" s="401">
        <f>Y272-Y302</f>
        <v>0</v>
      </c>
      <c r="Z304" s="401"/>
      <c r="AA304" s="188"/>
      <c r="AB304" s="188"/>
      <c r="AC304" s="188"/>
      <c r="AD304" s="188"/>
      <c r="AE304" s="188"/>
      <c r="AF304" s="188"/>
    </row>
    <row r="305" ht="18.5" spans="3:32">
      <c r="C305" s="344"/>
      <c r="D305" s="344"/>
      <c r="E305" s="330"/>
      <c r="F305" s="330"/>
      <c r="G305" s="330"/>
      <c r="H305" s="330"/>
      <c r="I305" s="354"/>
      <c r="J305" s="354"/>
      <c r="K305" s="354"/>
      <c r="L305" s="3"/>
      <c r="M305" s="3"/>
      <c r="N305" s="3"/>
      <c r="O305" s="354"/>
      <c r="P305" s="3"/>
      <c r="Q305" s="3"/>
      <c r="R305" s="3"/>
      <c r="S305" s="354"/>
      <c r="T305" s="3"/>
      <c r="U305" s="3"/>
      <c r="V305" s="3"/>
      <c r="W305" s="354"/>
      <c r="X305" s="3"/>
      <c r="Y305" s="3"/>
      <c r="Z305" s="3"/>
      <c r="AA305" s="188"/>
      <c r="AB305" s="188"/>
      <c r="AC305" s="188"/>
      <c r="AD305" s="188"/>
      <c r="AE305" s="188"/>
      <c r="AF305" s="188"/>
    </row>
    <row r="306" s="183" customFormat="1" ht="26" spans="3:32">
      <c r="C306" s="107" t="s">
        <v>245</v>
      </c>
      <c r="D306" s="107"/>
      <c r="E306" s="107"/>
      <c r="F306" s="378"/>
      <c r="G306" s="378"/>
      <c r="H306" s="378"/>
      <c r="I306" s="378"/>
      <c r="J306" s="378"/>
      <c r="K306" s="378"/>
      <c r="L306" s="378"/>
      <c r="M306" s="378"/>
      <c r="N306" s="378"/>
      <c r="O306" s="378"/>
      <c r="P306" s="378"/>
      <c r="Q306" s="378"/>
      <c r="R306" s="378"/>
      <c r="S306" s="378"/>
      <c r="T306" s="378"/>
      <c r="U306" s="378"/>
      <c r="V306" s="378"/>
      <c r="W306" s="378"/>
      <c r="X306" s="378"/>
      <c r="Y306" s="378"/>
      <c r="Z306" s="378"/>
      <c r="AA306" s="406"/>
      <c r="AB306" s="406"/>
      <c r="AC306" s="406"/>
      <c r="AD306" s="406"/>
      <c r="AE306" s="406"/>
      <c r="AF306" s="406"/>
    </row>
    <row r="307" ht="18.5" spans="3:32">
      <c r="C307" s="344"/>
      <c r="D307" s="344"/>
      <c r="E307" s="330"/>
      <c r="F307" s="330"/>
      <c r="G307" s="330"/>
      <c r="H307" s="330"/>
      <c r="I307" s="354"/>
      <c r="J307" s="354"/>
      <c r="K307" s="354"/>
      <c r="L307" s="3"/>
      <c r="M307" s="3"/>
      <c r="N307" s="3"/>
      <c r="O307" s="354"/>
      <c r="P307" s="3"/>
      <c r="Q307" s="3"/>
      <c r="R307" s="3"/>
      <c r="S307" s="354"/>
      <c r="T307" s="3"/>
      <c r="U307" s="3"/>
      <c r="V307" s="3"/>
      <c r="W307" s="354"/>
      <c r="X307" s="3"/>
      <c r="Y307" s="3"/>
      <c r="Z307" s="3"/>
      <c r="AA307" s="188"/>
      <c r="AB307" s="188"/>
      <c r="AC307" s="188"/>
      <c r="AD307" s="188"/>
      <c r="AE307" s="188"/>
      <c r="AF307" s="188"/>
    </row>
    <row r="308" ht="18.5" spans="3:32">
      <c r="C308" s="292" t="s">
        <v>246</v>
      </c>
      <c r="D308" s="292"/>
      <c r="E308" s="379">
        <f>E274+E275+E276</f>
        <v>310.719</v>
      </c>
      <c r="F308" s="379">
        <f t="shared" ref="F308:K308" si="432">F274+F275+F276</f>
        <v>331.265</v>
      </c>
      <c r="G308" s="379">
        <f t="shared" si="432"/>
        <v>500.6</v>
      </c>
      <c r="H308" s="379">
        <f t="shared" si="432"/>
        <v>650</v>
      </c>
      <c r="I308" s="379">
        <f t="shared" si="432"/>
        <v>871.9</v>
      </c>
      <c r="J308" s="379">
        <f t="shared" si="432"/>
        <v>1206.1</v>
      </c>
      <c r="K308" s="379">
        <f t="shared" si="432"/>
        <v>1524.7</v>
      </c>
      <c r="L308" s="39"/>
      <c r="M308" s="392">
        <f t="shared" ref="M308:O308" si="433">M274+M275+M276</f>
        <v>1810.6</v>
      </c>
      <c r="N308" s="392"/>
      <c r="O308" s="379">
        <f t="shared" si="433"/>
        <v>1736.7</v>
      </c>
      <c r="P308" s="39"/>
      <c r="Q308" s="392">
        <f t="shared" ref="Q308:S308" si="434">Q274+Q275+Q276</f>
        <v>1885.7</v>
      </c>
      <c r="R308" s="392"/>
      <c r="S308" s="379">
        <f t="shared" si="434"/>
        <v>1976.5</v>
      </c>
      <c r="T308" s="3"/>
      <c r="U308" s="392">
        <f t="shared" ref="U308:W308" si="435">U274+U275+U276</f>
        <v>1967.1</v>
      </c>
      <c r="V308" s="392"/>
      <c r="W308" s="379">
        <f t="shared" si="435"/>
        <v>1954.9</v>
      </c>
      <c r="X308" s="3"/>
      <c r="Y308" s="392">
        <f t="shared" ref="Y308" si="436">Y274+Y275+Y276</f>
        <v>2082.6</v>
      </c>
      <c r="Z308" s="3"/>
      <c r="AA308" s="188"/>
      <c r="AB308" s="188"/>
      <c r="AC308" s="188"/>
      <c r="AD308" s="188"/>
      <c r="AE308" s="188"/>
      <c r="AF308" s="188"/>
    </row>
    <row r="309" ht="18.5" spans="3:32">
      <c r="C309" s="292" t="s">
        <v>247</v>
      </c>
      <c r="D309" s="292"/>
      <c r="E309" s="380">
        <v>0</v>
      </c>
      <c r="F309" s="380">
        <v>0</v>
      </c>
      <c r="G309" s="380">
        <v>0</v>
      </c>
      <c r="H309" s="380">
        <v>0</v>
      </c>
      <c r="I309" s="380">
        <v>0</v>
      </c>
      <c r="J309" s="380">
        <v>0</v>
      </c>
      <c r="K309" s="380">
        <v>0</v>
      </c>
      <c r="L309" s="39"/>
      <c r="M309" s="393">
        <v>0</v>
      </c>
      <c r="N309" s="393"/>
      <c r="O309" s="380">
        <v>0</v>
      </c>
      <c r="P309" s="39"/>
      <c r="Q309" s="393">
        <v>0</v>
      </c>
      <c r="R309" s="393"/>
      <c r="S309" s="380">
        <v>0</v>
      </c>
      <c r="T309" s="3"/>
      <c r="U309" s="393">
        <v>0</v>
      </c>
      <c r="V309" s="393"/>
      <c r="W309" s="380">
        <v>0</v>
      </c>
      <c r="X309" s="3"/>
      <c r="Y309" s="393">
        <v>0</v>
      </c>
      <c r="Z309" s="3"/>
      <c r="AA309" s="188"/>
      <c r="AB309" s="188"/>
      <c r="AC309" s="188"/>
      <c r="AD309" s="188"/>
      <c r="AE309" s="188"/>
      <c r="AF309" s="188"/>
    </row>
    <row r="310" ht="18.5" spans="3:32">
      <c r="C310" s="292" t="s">
        <v>248</v>
      </c>
      <c r="D310" s="292"/>
      <c r="E310" s="379">
        <f>E284+E285+E287</f>
        <v>0.374</v>
      </c>
      <c r="F310" s="379">
        <f t="shared" ref="F310:K310" si="437">F284+F285+F287</f>
        <v>0.274</v>
      </c>
      <c r="G310" s="379">
        <f t="shared" si="437"/>
        <v>2.5</v>
      </c>
      <c r="H310" s="379">
        <f t="shared" si="437"/>
        <v>11</v>
      </c>
      <c r="I310" s="379">
        <f t="shared" si="437"/>
        <v>62.2</v>
      </c>
      <c r="J310" s="379">
        <f t="shared" si="437"/>
        <v>1723.3</v>
      </c>
      <c r="K310" s="379">
        <f t="shared" si="437"/>
        <v>1676.1</v>
      </c>
      <c r="L310" s="39"/>
      <c r="M310" s="392">
        <f t="shared" ref="M310:O310" si="438">M284+M285+M287</f>
        <v>1897.7</v>
      </c>
      <c r="N310" s="392"/>
      <c r="O310" s="379">
        <f t="shared" si="438"/>
        <v>2719.1</v>
      </c>
      <c r="P310" s="39"/>
      <c r="Q310" s="392">
        <f t="shared" ref="Q310:S310" si="439">Q284+Q285+Q287</f>
        <v>1945.2</v>
      </c>
      <c r="R310" s="392"/>
      <c r="S310" s="379">
        <f t="shared" si="439"/>
        <v>2912.2</v>
      </c>
      <c r="T310" s="3"/>
      <c r="U310" s="392">
        <f t="shared" ref="U310:W310" si="440">U284+U285+U287</f>
        <v>2820.1</v>
      </c>
      <c r="V310" s="392"/>
      <c r="W310" s="379">
        <f t="shared" si="440"/>
        <v>2914.5</v>
      </c>
      <c r="X310" s="3"/>
      <c r="Y310" s="392">
        <f t="shared" ref="Y310" si="441">Y284+Y285+Y287</f>
        <v>3900.9</v>
      </c>
      <c r="Z310" s="3"/>
      <c r="AA310" s="188"/>
      <c r="AB310" s="188"/>
      <c r="AC310" s="188"/>
      <c r="AD310" s="188"/>
      <c r="AE310" s="188"/>
      <c r="AF310" s="188"/>
    </row>
    <row r="311" s="151" customFormat="1" ht="18.5" spans="3:32">
      <c r="C311" s="301" t="s">
        <v>249</v>
      </c>
      <c r="D311" s="301"/>
      <c r="E311" s="381">
        <f>SUM(E308:E310)</f>
        <v>311.093</v>
      </c>
      <c r="F311" s="381">
        <f t="shared" ref="F311:Y311" si="442">SUM(F308:F310)</f>
        <v>331.539</v>
      </c>
      <c r="G311" s="381">
        <f t="shared" si="442"/>
        <v>503.1</v>
      </c>
      <c r="H311" s="381">
        <f t="shared" si="442"/>
        <v>661</v>
      </c>
      <c r="I311" s="381">
        <f t="shared" si="442"/>
        <v>934.1</v>
      </c>
      <c r="J311" s="381">
        <f t="shared" si="442"/>
        <v>2929.4</v>
      </c>
      <c r="K311" s="381">
        <f t="shared" si="442"/>
        <v>3200.8</v>
      </c>
      <c r="L311" s="139"/>
      <c r="M311" s="394">
        <f t="shared" si="442"/>
        <v>3708.3</v>
      </c>
      <c r="N311" s="394"/>
      <c r="O311" s="381">
        <f t="shared" si="442"/>
        <v>4455.8</v>
      </c>
      <c r="P311" s="139"/>
      <c r="Q311" s="394">
        <f t="shared" si="442"/>
        <v>3830.9</v>
      </c>
      <c r="R311" s="394"/>
      <c r="S311" s="381">
        <f t="shared" si="442"/>
        <v>4888.7</v>
      </c>
      <c r="T311" s="58"/>
      <c r="U311" s="394">
        <f t="shared" si="442"/>
        <v>4787.2</v>
      </c>
      <c r="V311" s="394"/>
      <c r="W311" s="381">
        <f t="shared" si="442"/>
        <v>4869.4</v>
      </c>
      <c r="X311" s="58"/>
      <c r="Y311" s="394">
        <f t="shared" si="442"/>
        <v>5983.5</v>
      </c>
      <c r="Z311" s="58"/>
      <c r="AA311" s="405"/>
      <c r="AB311" s="405"/>
      <c r="AC311" s="405"/>
      <c r="AD311" s="405"/>
      <c r="AE311" s="405"/>
      <c r="AF311" s="405"/>
    </row>
    <row r="312" ht="18.5" spans="3:32">
      <c r="C312" s="292" t="s">
        <v>250</v>
      </c>
      <c r="D312" s="292"/>
      <c r="E312" s="379">
        <f>E259</f>
        <v>121.317</v>
      </c>
      <c r="F312" s="379">
        <f t="shared" ref="F312:K312" si="443">F259</f>
        <v>215.996</v>
      </c>
      <c r="G312" s="379">
        <f t="shared" si="443"/>
        <v>247.6</v>
      </c>
      <c r="H312" s="379">
        <f t="shared" si="443"/>
        <v>347.5</v>
      </c>
      <c r="I312" s="379">
        <f t="shared" si="443"/>
        <v>251.2</v>
      </c>
      <c r="J312" s="379">
        <f t="shared" si="443"/>
        <v>465.9</v>
      </c>
      <c r="K312" s="379">
        <f t="shared" si="443"/>
        <v>964.4</v>
      </c>
      <c r="L312" s="39"/>
      <c r="M312" s="392">
        <f t="shared" ref="M312:O312" si="444">M259</f>
        <v>1304.7</v>
      </c>
      <c r="N312" s="392"/>
      <c r="O312" s="379">
        <f t="shared" si="444"/>
        <v>1314</v>
      </c>
      <c r="P312" s="39"/>
      <c r="Q312" s="392">
        <f t="shared" ref="Q312:S312" si="445">Q259</f>
        <v>1137.9</v>
      </c>
      <c r="R312" s="392"/>
      <c r="S312" s="379">
        <f t="shared" si="445"/>
        <v>1508</v>
      </c>
      <c r="T312" s="3"/>
      <c r="U312" s="392">
        <f t="shared" ref="U312:W312" si="446">U259</f>
        <v>1391.1</v>
      </c>
      <c r="V312" s="392"/>
      <c r="W312" s="379">
        <f t="shared" si="446"/>
        <v>1152.7</v>
      </c>
      <c r="X312" s="3"/>
      <c r="Y312" s="392">
        <f t="shared" ref="Y312" si="447">Y259</f>
        <v>946.3</v>
      </c>
      <c r="Z312" s="3"/>
      <c r="AA312" s="188"/>
      <c r="AB312" s="188"/>
      <c r="AC312" s="188"/>
      <c r="AD312" s="188"/>
      <c r="AE312" s="188"/>
      <c r="AF312" s="188"/>
    </row>
    <row r="313" s="151" customFormat="1" ht="18.5" spans="3:32">
      <c r="C313" s="301" t="s">
        <v>251</v>
      </c>
      <c r="D313" s="301"/>
      <c r="E313" s="381">
        <f>E311-E312</f>
        <v>189.776</v>
      </c>
      <c r="F313" s="381">
        <f t="shared" ref="F313:Y313" si="448">F311-F312</f>
        <v>115.543</v>
      </c>
      <c r="G313" s="381">
        <f t="shared" si="448"/>
        <v>255.5</v>
      </c>
      <c r="H313" s="381">
        <f t="shared" si="448"/>
        <v>313.5</v>
      </c>
      <c r="I313" s="381">
        <f t="shared" si="448"/>
        <v>682.9</v>
      </c>
      <c r="J313" s="381">
        <f t="shared" si="448"/>
        <v>2463.5</v>
      </c>
      <c r="K313" s="381">
        <f t="shared" si="448"/>
        <v>2236.4</v>
      </c>
      <c r="L313" s="139"/>
      <c r="M313" s="394">
        <f t="shared" si="448"/>
        <v>2403.6</v>
      </c>
      <c r="N313" s="394"/>
      <c r="O313" s="381">
        <f t="shared" si="448"/>
        <v>3141.8</v>
      </c>
      <c r="P313" s="139"/>
      <c r="Q313" s="394">
        <f t="shared" si="448"/>
        <v>2693</v>
      </c>
      <c r="R313" s="394"/>
      <c r="S313" s="381">
        <f t="shared" si="448"/>
        <v>3380.7</v>
      </c>
      <c r="T313" s="58"/>
      <c r="U313" s="394">
        <f t="shared" si="448"/>
        <v>3396.1</v>
      </c>
      <c r="V313" s="394"/>
      <c r="W313" s="381">
        <f t="shared" si="448"/>
        <v>3716.7</v>
      </c>
      <c r="X313" s="58"/>
      <c r="Y313" s="394">
        <f t="shared" si="448"/>
        <v>5037.2</v>
      </c>
      <c r="Z313" s="58"/>
      <c r="AA313" s="405"/>
      <c r="AB313" s="405"/>
      <c r="AC313" s="405"/>
      <c r="AD313" s="405"/>
      <c r="AE313" s="405"/>
      <c r="AF313" s="405"/>
    </row>
    <row r="314" ht="18.5" spans="3:32">
      <c r="C314" s="344"/>
      <c r="D314" s="344"/>
      <c r="E314" s="382"/>
      <c r="F314" s="382"/>
      <c r="G314" s="382"/>
      <c r="H314" s="382"/>
      <c r="I314" s="382"/>
      <c r="J314" s="382"/>
      <c r="K314" s="382"/>
      <c r="L314" s="2"/>
      <c r="M314" s="395"/>
      <c r="N314" s="395"/>
      <c r="O314" s="382"/>
      <c r="P314" s="2"/>
      <c r="Q314" s="395"/>
      <c r="R314" s="395"/>
      <c r="S314" s="382"/>
      <c r="T314" s="3"/>
      <c r="U314" s="395"/>
      <c r="V314" s="395"/>
      <c r="W314" s="382"/>
      <c r="X314" s="3"/>
      <c r="Y314" s="395"/>
      <c r="Z314" s="3"/>
      <c r="AA314" s="188"/>
      <c r="AB314" s="188"/>
      <c r="AC314" s="188"/>
      <c r="AD314" s="188"/>
      <c r="AE314" s="188"/>
      <c r="AF314" s="188"/>
    </row>
    <row r="315" ht="18.5" spans="3:32">
      <c r="C315" s="2" t="s">
        <v>252</v>
      </c>
      <c r="D315" s="2"/>
      <c r="E315" s="267">
        <f t="shared" ref="E315" si="449">E246</f>
        <v>137.887</v>
      </c>
      <c r="F315" s="267">
        <f t="shared" ref="F315:K315" si="450">F246</f>
        <v>182.184</v>
      </c>
      <c r="G315" s="267">
        <f t="shared" si="450"/>
        <v>302.2</v>
      </c>
      <c r="H315" s="267">
        <f t="shared" si="450"/>
        <v>367.2</v>
      </c>
      <c r="I315" s="267">
        <f t="shared" si="450"/>
        <v>461.2</v>
      </c>
      <c r="J315" s="267">
        <f t="shared" si="450"/>
        <v>876.6</v>
      </c>
      <c r="K315" s="267">
        <f t="shared" si="450"/>
        <v>884.2</v>
      </c>
      <c r="L315" s="110"/>
      <c r="M315" s="121">
        <f t="shared" ref="M315:O315" si="451">M246</f>
        <v>661.9</v>
      </c>
      <c r="N315" s="121"/>
      <c r="O315" s="267">
        <f t="shared" si="451"/>
        <v>1301.1</v>
      </c>
      <c r="P315" s="110"/>
      <c r="Q315" s="121">
        <f t="shared" ref="Q315:S315" si="452">Q246</f>
        <v>641.9</v>
      </c>
      <c r="R315" s="121"/>
      <c r="S315" s="267">
        <f t="shared" si="452"/>
        <v>1439.2</v>
      </c>
      <c r="T315" s="3"/>
      <c r="U315" s="121">
        <f t="shared" ref="U315:W315" si="453">U246</f>
        <v>699.2</v>
      </c>
      <c r="V315" s="121"/>
      <c r="W315" s="267">
        <f t="shared" si="453"/>
        <v>1835.2</v>
      </c>
      <c r="X315" s="3"/>
      <c r="Y315" s="121">
        <f t="shared" ref="Y315" si="454">Y246</f>
        <v>584.1</v>
      </c>
      <c r="Z315" s="3"/>
      <c r="AA315" s="188"/>
      <c r="AB315" s="188"/>
      <c r="AC315" s="188"/>
      <c r="AD315" s="188"/>
      <c r="AE315" s="188"/>
      <c r="AF315" s="188"/>
    </row>
    <row r="316" s="151" customFormat="1" ht="18.5" spans="3:32">
      <c r="C316" s="127" t="s">
        <v>253</v>
      </c>
      <c r="D316" s="127"/>
      <c r="E316" s="383">
        <f>E313/E315</f>
        <v>1.37631538868784</v>
      </c>
      <c r="F316" s="383">
        <f t="shared" ref="F316:Y316" si="455">F313/F315</f>
        <v>0.634210468537303</v>
      </c>
      <c r="G316" s="383">
        <f t="shared" si="455"/>
        <v>0.845466578424885</v>
      </c>
      <c r="H316" s="383">
        <f t="shared" si="455"/>
        <v>0.85375816993464</v>
      </c>
      <c r="I316" s="383">
        <f t="shared" si="455"/>
        <v>1.4807025151778</v>
      </c>
      <c r="J316" s="383">
        <f t="shared" si="455"/>
        <v>2.81028975587497</v>
      </c>
      <c r="K316" s="383">
        <f t="shared" si="455"/>
        <v>2.52929201538113</v>
      </c>
      <c r="L316" s="396"/>
      <c r="M316" s="383">
        <f t="shared" si="455"/>
        <v>3.63136425441909</v>
      </c>
      <c r="N316" s="383"/>
      <c r="O316" s="383">
        <f t="shared" si="455"/>
        <v>2.41472600107601</v>
      </c>
      <c r="P316" s="396"/>
      <c r="Q316" s="383">
        <f t="shared" si="455"/>
        <v>4.19535753232591</v>
      </c>
      <c r="R316" s="383"/>
      <c r="S316" s="383">
        <f t="shared" si="455"/>
        <v>2.34901334074486</v>
      </c>
      <c r="T316" s="403"/>
      <c r="U316" s="383">
        <f t="shared" si="455"/>
        <v>4.85712242562929</v>
      </c>
      <c r="V316" s="383"/>
      <c r="W316" s="383">
        <f t="shared" si="455"/>
        <v>2.02522885789015</v>
      </c>
      <c r="X316" s="404"/>
      <c r="Y316" s="383">
        <f t="shared" si="455"/>
        <v>8.62386577640815</v>
      </c>
      <c r="Z316" s="404"/>
      <c r="AA316" s="404"/>
      <c r="AB316" s="404"/>
      <c r="AC316" s="404"/>
      <c r="AD316" s="404"/>
      <c r="AE316" s="404"/>
      <c r="AF316" s="404"/>
    </row>
    <row r="317" ht="18.5" spans="3:32">
      <c r="C317" s="344"/>
      <c r="D317" s="344"/>
      <c r="E317" s="330"/>
      <c r="F317" s="330"/>
      <c r="G317" s="330"/>
      <c r="H317" s="330"/>
      <c r="I317" s="354"/>
      <c r="J317" s="354"/>
      <c r="K317" s="354"/>
      <c r="L317" s="3"/>
      <c r="M317" s="3"/>
      <c r="N317" s="3"/>
      <c r="O317" s="354"/>
      <c r="P317" s="3"/>
      <c r="Q317" s="3"/>
      <c r="R317" s="3"/>
      <c r="S317" s="354"/>
      <c r="T317" s="3"/>
      <c r="U317" s="3"/>
      <c r="V317" s="3"/>
      <c r="W317" s="354"/>
      <c r="AA317" s="188"/>
      <c r="AB317" s="188"/>
      <c r="AC317" s="188"/>
      <c r="AD317" s="188"/>
      <c r="AE317" s="188"/>
      <c r="AF317" s="188"/>
    </row>
    <row r="318" s="184" customFormat="1" ht="26" spans="3:32">
      <c r="C318" s="107" t="s">
        <v>254</v>
      </c>
      <c r="D318" s="107"/>
      <c r="E318" s="107"/>
      <c r="F318" s="384"/>
      <c r="G318" s="384"/>
      <c r="H318" s="384"/>
      <c r="I318" s="397"/>
      <c r="J318" s="397"/>
      <c r="K318" s="397"/>
      <c r="L318" s="397"/>
      <c r="M318" s="397"/>
      <c r="N318" s="397"/>
      <c r="O318" s="397"/>
      <c r="P318" s="397"/>
      <c r="Q318" s="397"/>
      <c r="R318" s="397"/>
      <c r="S318" s="397"/>
      <c r="T318" s="397"/>
      <c r="U318" s="397"/>
      <c r="V318" s="397"/>
      <c r="W318" s="397"/>
      <c r="X318" s="149"/>
      <c r="Y318" s="149"/>
      <c r="Z318" s="149"/>
      <c r="AA318" s="149"/>
      <c r="AB318" s="149"/>
      <c r="AC318" s="149"/>
      <c r="AD318" s="149"/>
      <c r="AE318" s="149"/>
      <c r="AF318" s="149"/>
    </row>
    <row r="319" ht="18.5" spans="3:32">
      <c r="C319" s="344"/>
      <c r="D319" s="344"/>
      <c r="E319" s="330"/>
      <c r="F319" s="330"/>
      <c r="G319" s="330"/>
      <c r="H319" s="330"/>
      <c r="I319" s="354"/>
      <c r="J319" s="354"/>
      <c r="K319" s="354"/>
      <c r="L319" s="3"/>
      <c r="M319" s="3"/>
      <c r="N319" s="3"/>
      <c r="O319" s="354"/>
      <c r="P319" s="3"/>
      <c r="Q319" s="3"/>
      <c r="R319" s="3"/>
      <c r="S319" s="354"/>
      <c r="T319" s="3"/>
      <c r="U319" s="3"/>
      <c r="V319" s="3"/>
      <c r="W319" s="354"/>
      <c r="AA319" s="188"/>
      <c r="AB319" s="188"/>
      <c r="AC319" s="188"/>
      <c r="AD319" s="188"/>
      <c r="AE319" s="188"/>
      <c r="AF319" s="188"/>
    </row>
    <row r="320" ht="18.5" spans="3:32">
      <c r="C320" s="292" t="s">
        <v>255</v>
      </c>
      <c r="D320" s="292"/>
      <c r="E320" s="379">
        <f>E272-E282</f>
        <v>354.922</v>
      </c>
      <c r="F320" s="379">
        <f t="shared" ref="F320:K320" si="456">F272-F282</f>
        <v>443.142</v>
      </c>
      <c r="G320" s="379">
        <f t="shared" si="456"/>
        <v>643.7</v>
      </c>
      <c r="H320" s="379">
        <f t="shared" si="456"/>
        <v>943.9</v>
      </c>
      <c r="I320" s="379">
        <f t="shared" si="456"/>
        <v>1305</v>
      </c>
      <c r="J320" s="379">
        <f t="shared" si="456"/>
        <v>3105.5</v>
      </c>
      <c r="K320" s="379">
        <f t="shared" si="456"/>
        <v>3607</v>
      </c>
      <c r="L320" s="39"/>
      <c r="M320" s="392">
        <f t="shared" ref="M320:O320" si="457">M272-M282</f>
        <v>4635.8</v>
      </c>
      <c r="N320" s="392"/>
      <c r="O320" s="379">
        <f t="shared" si="457"/>
        <v>5163.4</v>
      </c>
      <c r="P320" s="39"/>
      <c r="Q320" s="392">
        <f t="shared" ref="Q320:S320" si="458">Q272-Q282</f>
        <v>5670.1</v>
      </c>
      <c r="R320" s="392"/>
      <c r="S320" s="379">
        <f t="shared" si="458"/>
        <v>5757.3</v>
      </c>
      <c r="T320" s="3"/>
      <c r="U320" s="392">
        <f t="shared" ref="U320:W320" si="459">U272-U282</f>
        <v>5583.4</v>
      </c>
      <c r="V320" s="392"/>
      <c r="W320" s="379">
        <f t="shared" si="459"/>
        <v>6049.7</v>
      </c>
      <c r="Y320" s="392">
        <f t="shared" ref="Y320" si="460">Y272-Y282</f>
        <v>7033.8</v>
      </c>
      <c r="AA320" s="188"/>
      <c r="AB320" s="188"/>
      <c r="AC320" s="188"/>
      <c r="AD320" s="188"/>
      <c r="AE320" s="188"/>
      <c r="AF320" s="188"/>
    </row>
    <row r="321" ht="18.5" spans="3:32">
      <c r="C321" s="292" t="s">
        <v>256</v>
      </c>
      <c r="D321" s="292"/>
      <c r="E321" s="380">
        <v>0</v>
      </c>
      <c r="F321" s="380">
        <v>0</v>
      </c>
      <c r="G321" s="380">
        <v>0</v>
      </c>
      <c r="H321" s="380">
        <v>0</v>
      </c>
      <c r="I321" s="380">
        <v>0</v>
      </c>
      <c r="J321" s="380">
        <v>0</v>
      </c>
      <c r="K321" s="380">
        <v>0</v>
      </c>
      <c r="L321" s="39"/>
      <c r="M321" s="393">
        <v>0</v>
      </c>
      <c r="N321" s="393"/>
      <c r="O321" s="380">
        <v>0</v>
      </c>
      <c r="P321" s="39"/>
      <c r="Q321" s="393">
        <v>0</v>
      </c>
      <c r="R321" s="393"/>
      <c r="S321" s="380">
        <v>0</v>
      </c>
      <c r="T321" s="3"/>
      <c r="U321" s="393">
        <v>0</v>
      </c>
      <c r="V321" s="393"/>
      <c r="W321" s="380">
        <v>0</v>
      </c>
      <c r="Y321" s="393">
        <v>0</v>
      </c>
      <c r="AA321" s="188"/>
      <c r="AB321" s="188"/>
      <c r="AC321" s="188"/>
      <c r="AD321" s="188"/>
      <c r="AE321" s="188"/>
      <c r="AF321" s="188"/>
    </row>
    <row r="322" ht="18.5" spans="3:32">
      <c r="C322" s="292" t="s">
        <v>257</v>
      </c>
      <c r="D322" s="292"/>
      <c r="E322" s="379">
        <f>E262</f>
        <v>101.075</v>
      </c>
      <c r="F322" s="379">
        <f t="shared" ref="F322:K322" si="461">F262</f>
        <v>73.611</v>
      </c>
      <c r="G322" s="379">
        <f t="shared" si="461"/>
        <v>190.9</v>
      </c>
      <c r="H322" s="379">
        <f t="shared" si="461"/>
        <v>211</v>
      </c>
      <c r="I322" s="379">
        <f t="shared" si="461"/>
        <v>394.3</v>
      </c>
      <c r="J322" s="379">
        <f t="shared" si="461"/>
        <v>413.7</v>
      </c>
      <c r="K322" s="379">
        <f t="shared" si="461"/>
        <v>819.7</v>
      </c>
      <c r="L322" s="39"/>
      <c r="M322" s="392">
        <f t="shared" ref="M322:O322" si="462">M262</f>
        <v>1208.5</v>
      </c>
      <c r="N322" s="392"/>
      <c r="O322" s="379">
        <f t="shared" si="462"/>
        <v>1514.7</v>
      </c>
      <c r="P322" s="39"/>
      <c r="Q322" s="392">
        <f t="shared" ref="Q322:S322" si="463">Q262</f>
        <v>1614.8</v>
      </c>
      <c r="R322" s="392"/>
      <c r="S322" s="379">
        <f t="shared" si="463"/>
        <v>1500.5</v>
      </c>
      <c r="T322" s="3"/>
      <c r="U322" s="392">
        <f t="shared" ref="U322:W322" si="464">U262</f>
        <v>1385.8</v>
      </c>
      <c r="V322" s="392"/>
      <c r="W322" s="379">
        <f t="shared" si="464"/>
        <v>1429.3</v>
      </c>
      <c r="Y322" s="392">
        <f t="shared" ref="Y322" si="465">Y262</f>
        <v>1940.4</v>
      </c>
      <c r="AA322" s="188"/>
      <c r="AB322" s="188"/>
      <c r="AC322" s="188"/>
      <c r="AD322" s="188"/>
      <c r="AE322" s="188"/>
      <c r="AF322" s="188"/>
    </row>
    <row r="323" s="151" customFormat="1" ht="18.5" spans="3:32">
      <c r="C323" s="407" t="s">
        <v>258</v>
      </c>
      <c r="D323" s="407"/>
      <c r="E323" s="381">
        <f>E320-E321-E322</f>
        <v>253.847</v>
      </c>
      <c r="F323" s="381">
        <f t="shared" ref="F323:Y323" si="466">F320-F321-F322</f>
        <v>369.531</v>
      </c>
      <c r="G323" s="381">
        <f t="shared" si="466"/>
        <v>452.8</v>
      </c>
      <c r="H323" s="381">
        <f t="shared" si="466"/>
        <v>732.9</v>
      </c>
      <c r="I323" s="381">
        <f t="shared" si="466"/>
        <v>910.7</v>
      </c>
      <c r="J323" s="381">
        <f t="shared" si="466"/>
        <v>2691.8</v>
      </c>
      <c r="K323" s="381">
        <f t="shared" si="466"/>
        <v>2787.3</v>
      </c>
      <c r="L323" s="139"/>
      <c r="M323" s="394">
        <f t="shared" si="466"/>
        <v>3427.3</v>
      </c>
      <c r="N323" s="394"/>
      <c r="O323" s="381">
        <f t="shared" si="466"/>
        <v>3648.7</v>
      </c>
      <c r="P323" s="139"/>
      <c r="Q323" s="394">
        <f t="shared" si="466"/>
        <v>4055.3</v>
      </c>
      <c r="R323" s="394"/>
      <c r="S323" s="381">
        <f t="shared" si="466"/>
        <v>4256.8</v>
      </c>
      <c r="T323" s="58"/>
      <c r="U323" s="394">
        <f t="shared" si="466"/>
        <v>4197.6</v>
      </c>
      <c r="V323" s="394"/>
      <c r="W323" s="381">
        <f t="shared" si="466"/>
        <v>4620.4</v>
      </c>
      <c r="Y323" s="394">
        <f t="shared" si="466"/>
        <v>5093.4</v>
      </c>
      <c r="AA323" s="405"/>
      <c r="AB323" s="405"/>
      <c r="AC323" s="405"/>
      <c r="AD323" s="405"/>
      <c r="AE323" s="405"/>
      <c r="AF323" s="405"/>
    </row>
    <row r="324" ht="18.5" spans="3:32">
      <c r="C324" s="301"/>
      <c r="D324" s="301"/>
      <c r="E324" s="408"/>
      <c r="F324" s="408"/>
      <c r="G324" s="408"/>
      <c r="H324" s="408"/>
      <c r="I324" s="408"/>
      <c r="J324" s="408"/>
      <c r="K324" s="408"/>
      <c r="L324" s="2"/>
      <c r="M324" s="425"/>
      <c r="N324" s="425"/>
      <c r="O324" s="408"/>
      <c r="P324" s="2"/>
      <c r="Q324" s="425"/>
      <c r="R324" s="425"/>
      <c r="S324" s="408"/>
      <c r="T324" s="3"/>
      <c r="U324" s="425"/>
      <c r="V324" s="425"/>
      <c r="W324" s="408"/>
      <c r="Y324" s="425"/>
      <c r="AA324" s="188"/>
      <c r="AB324" s="188"/>
      <c r="AC324" s="188"/>
      <c r="AD324" s="188"/>
      <c r="AE324" s="188"/>
      <c r="AF324" s="188"/>
    </row>
    <row r="325" s="151" customFormat="1" ht="18.5" spans="3:32">
      <c r="C325" s="409" t="s">
        <v>259</v>
      </c>
      <c r="D325" s="409"/>
      <c r="E325" s="381">
        <f>E210</f>
        <v>92.646</v>
      </c>
      <c r="F325" s="381">
        <f t="shared" ref="F325:K325" si="467">F210</f>
        <v>133.406</v>
      </c>
      <c r="G325" s="381">
        <f t="shared" si="467"/>
        <v>239.8</v>
      </c>
      <c r="H325" s="381">
        <f t="shared" si="467"/>
        <v>295.9</v>
      </c>
      <c r="I325" s="381">
        <f t="shared" si="467"/>
        <v>346.2</v>
      </c>
      <c r="J325" s="381">
        <f t="shared" si="467"/>
        <v>426.6</v>
      </c>
      <c r="K325" s="381">
        <f t="shared" si="467"/>
        <v>385</v>
      </c>
      <c r="L325" s="109"/>
      <c r="M325" s="394">
        <f t="shared" ref="M325:O325" si="468">M210</f>
        <v>396.8</v>
      </c>
      <c r="N325" s="394"/>
      <c r="O325" s="381">
        <f t="shared" si="468"/>
        <v>721.2</v>
      </c>
      <c r="P325" s="109"/>
      <c r="Q325" s="394">
        <f t="shared" ref="Q325:S325" si="469">Q210</f>
        <v>332.8</v>
      </c>
      <c r="R325" s="394"/>
      <c r="S325" s="381">
        <f t="shared" si="469"/>
        <v>806</v>
      </c>
      <c r="T325" s="58"/>
      <c r="U325" s="394">
        <f t="shared" ref="U325:W325" si="470">U210</f>
        <v>374.8</v>
      </c>
      <c r="V325" s="394"/>
      <c r="W325" s="381">
        <f t="shared" si="470"/>
        <v>927.2</v>
      </c>
      <c r="Y325" s="394">
        <f t="shared" ref="Y325" si="471">Y210</f>
        <v>292.2</v>
      </c>
      <c r="AA325" s="405"/>
      <c r="AB325" s="405"/>
      <c r="AC325" s="405"/>
      <c r="AD325" s="405"/>
      <c r="AE325" s="405"/>
      <c r="AF325" s="405"/>
    </row>
    <row r="326" ht="18.5" spans="3:32">
      <c r="C326" s="410" t="s">
        <v>260</v>
      </c>
      <c r="D326" s="410"/>
      <c r="E326" s="379">
        <f>E347</f>
        <v>-20.811</v>
      </c>
      <c r="F326" s="379">
        <f t="shared" ref="F326:K326" si="472">F347</f>
        <v>-29.981</v>
      </c>
      <c r="G326" s="379">
        <f t="shared" si="472"/>
        <v>-40.1</v>
      </c>
      <c r="H326" s="379">
        <f t="shared" si="472"/>
        <v>-57.8</v>
      </c>
      <c r="I326" s="379">
        <f t="shared" si="472"/>
        <v>-80.3</v>
      </c>
      <c r="J326" s="379">
        <f t="shared" si="472"/>
        <v>-97.8</v>
      </c>
      <c r="K326" s="379">
        <f t="shared" si="472"/>
        <v>-130.4</v>
      </c>
      <c r="L326" s="39"/>
      <c r="M326" s="392">
        <f t="shared" ref="M326:O326" si="473">M347</f>
        <v>-111</v>
      </c>
      <c r="N326" s="392"/>
      <c r="O326" s="379">
        <f t="shared" si="473"/>
        <v>-244.1</v>
      </c>
      <c r="P326" s="39"/>
      <c r="Q326" s="392">
        <f t="shared" ref="Q326:S326" si="474">Q347</f>
        <v>-71.6</v>
      </c>
      <c r="R326" s="392"/>
      <c r="S326" s="379">
        <f t="shared" si="474"/>
        <v>-174.4</v>
      </c>
      <c r="T326" s="3"/>
      <c r="U326" s="392">
        <f t="shared" ref="U326:W326" si="475">U347</f>
        <v>0</v>
      </c>
      <c r="V326" s="392"/>
      <c r="W326" s="379">
        <f t="shared" si="475"/>
        <v>-208.6</v>
      </c>
      <c r="Y326" s="392">
        <f t="shared" ref="Y326" si="476">Y347</f>
        <v>0</v>
      </c>
      <c r="AA326" s="188"/>
      <c r="AB326" s="188"/>
      <c r="AC326" s="188"/>
      <c r="AD326" s="188"/>
      <c r="AE326" s="188"/>
      <c r="AF326" s="188"/>
    </row>
    <row r="327" s="151" customFormat="1" ht="18.5" spans="3:32">
      <c r="C327" s="409" t="s">
        <v>261</v>
      </c>
      <c r="D327" s="409"/>
      <c r="E327" s="381">
        <f>E325+E326</f>
        <v>71.835</v>
      </c>
      <c r="F327" s="381">
        <f t="shared" ref="F327:Y327" si="477">F325+F326</f>
        <v>103.425</v>
      </c>
      <c r="G327" s="381">
        <f t="shared" si="477"/>
        <v>199.7</v>
      </c>
      <c r="H327" s="381">
        <f t="shared" si="477"/>
        <v>238.1</v>
      </c>
      <c r="I327" s="381">
        <f t="shared" si="477"/>
        <v>265.9</v>
      </c>
      <c r="J327" s="381">
        <f t="shared" si="477"/>
        <v>328.8</v>
      </c>
      <c r="K327" s="381">
        <f t="shared" si="477"/>
        <v>254.6</v>
      </c>
      <c r="L327" s="109"/>
      <c r="M327" s="394">
        <f t="shared" si="477"/>
        <v>285.8</v>
      </c>
      <c r="N327" s="394"/>
      <c r="O327" s="381">
        <f t="shared" si="477"/>
        <v>477.1</v>
      </c>
      <c r="P327" s="109"/>
      <c r="Q327" s="394">
        <f t="shared" si="477"/>
        <v>261.2</v>
      </c>
      <c r="R327" s="394"/>
      <c r="S327" s="381">
        <f t="shared" si="477"/>
        <v>631.6</v>
      </c>
      <c r="T327" s="58"/>
      <c r="U327" s="394">
        <f t="shared" si="477"/>
        <v>374.8</v>
      </c>
      <c r="V327" s="394"/>
      <c r="W327" s="381">
        <f t="shared" si="477"/>
        <v>718.6</v>
      </c>
      <c r="Y327" s="394">
        <f t="shared" si="477"/>
        <v>292.2</v>
      </c>
      <c r="AA327" s="405"/>
      <c r="AB327" s="405"/>
      <c r="AC327" s="405"/>
      <c r="AD327" s="405"/>
      <c r="AE327" s="405"/>
      <c r="AF327" s="405"/>
    </row>
    <row r="328" ht="18.5" spans="3:32">
      <c r="C328" s="344"/>
      <c r="D328" s="344"/>
      <c r="E328" s="330"/>
      <c r="F328" s="193"/>
      <c r="G328" s="193"/>
      <c r="H328" s="193"/>
      <c r="I328" s="193"/>
      <c r="J328" s="193"/>
      <c r="K328" s="193"/>
      <c r="L328" s="2"/>
      <c r="M328" s="2"/>
      <c r="N328" s="2"/>
      <c r="O328" s="193"/>
      <c r="P328" s="2"/>
      <c r="Q328" s="2"/>
      <c r="R328" s="2"/>
      <c r="S328" s="193"/>
      <c r="T328" s="3"/>
      <c r="U328" s="2"/>
      <c r="V328" s="2"/>
      <c r="W328" s="193"/>
      <c r="Y328" s="2"/>
      <c r="AA328" s="188"/>
      <c r="AB328" s="188"/>
      <c r="AC328" s="188"/>
      <c r="AD328" s="188"/>
      <c r="AE328" s="188"/>
      <c r="AF328" s="188"/>
    </row>
    <row r="329" s="151" customFormat="1" ht="18.5" spans="3:32">
      <c r="C329" s="127" t="s">
        <v>254</v>
      </c>
      <c r="D329" s="127"/>
      <c r="E329" s="176">
        <f>E327/E320</f>
        <v>0.202396582911175</v>
      </c>
      <c r="F329" s="176">
        <f t="shared" ref="F329:K329" si="478">F327/F320</f>
        <v>0.233390199981044</v>
      </c>
      <c r="G329" s="176">
        <f t="shared" si="478"/>
        <v>0.310237688364145</v>
      </c>
      <c r="H329" s="176">
        <f t="shared" si="478"/>
        <v>0.252251297806971</v>
      </c>
      <c r="I329" s="176">
        <f t="shared" si="478"/>
        <v>0.203754789272031</v>
      </c>
      <c r="J329" s="176">
        <f t="shared" si="478"/>
        <v>0.105876670423442</v>
      </c>
      <c r="K329" s="176">
        <f t="shared" si="478"/>
        <v>0.0705849736623233</v>
      </c>
      <c r="L329" s="176"/>
      <c r="M329" s="176">
        <f t="shared" ref="M329:O329" si="479">M327/M320</f>
        <v>0.0616506320376203</v>
      </c>
      <c r="N329" s="176"/>
      <c r="O329" s="176">
        <f t="shared" si="479"/>
        <v>0.0924003563543402</v>
      </c>
      <c r="P329" s="176"/>
      <c r="Q329" s="176">
        <f t="shared" ref="Q329:S329" si="480">Q327/Q320</f>
        <v>0.0460662069452038</v>
      </c>
      <c r="R329" s="176"/>
      <c r="S329" s="176">
        <f t="shared" si="480"/>
        <v>0.109704201622288</v>
      </c>
      <c r="T329" s="403"/>
      <c r="U329" s="176">
        <f t="shared" ref="U329:W329" si="481">U327/U320</f>
        <v>0.0671275566858903</v>
      </c>
      <c r="V329" s="176"/>
      <c r="W329" s="176">
        <f t="shared" si="481"/>
        <v>0.118782749557829</v>
      </c>
      <c r="X329" s="404"/>
      <c r="Y329" s="176">
        <f t="shared" ref="Y329" si="482">Y327/Y320</f>
        <v>0.0415422673377122</v>
      </c>
      <c r="Z329" s="404"/>
      <c r="AA329" s="404"/>
      <c r="AB329" s="404"/>
      <c r="AC329" s="404"/>
      <c r="AD329" s="404"/>
      <c r="AE329" s="404"/>
      <c r="AF329" s="404"/>
    </row>
    <row r="330" ht="18.5" spans="3:32">
      <c r="C330" s="2" t="s">
        <v>262</v>
      </c>
      <c r="D330" s="2"/>
      <c r="E330" s="193"/>
      <c r="F330" s="202">
        <f>(F327-E327)/(F320-E320)</f>
        <v>0.358082067558377</v>
      </c>
      <c r="G330" s="202">
        <f t="shared" ref="G330:K330" si="483">(G327-F327)/(G320-F320)</f>
        <v>0.480035700395895</v>
      </c>
      <c r="H330" s="202">
        <f t="shared" si="483"/>
        <v>0.127914723517656</v>
      </c>
      <c r="I330" s="202">
        <f t="shared" si="483"/>
        <v>0.0769869842148983</v>
      </c>
      <c r="J330" s="202">
        <f t="shared" si="483"/>
        <v>0.034934740349903</v>
      </c>
      <c r="K330" s="202">
        <f t="shared" si="483"/>
        <v>-0.147956131605185</v>
      </c>
      <c r="L330" s="16"/>
      <c r="M330" s="16">
        <f t="shared" ref="M330" si="484">(M327-L327)/(M320-L320)</f>
        <v>0.0616506320376203</v>
      </c>
      <c r="N330" s="16"/>
      <c r="O330" s="202">
        <f>(O327-M327)/(O320-M320)</f>
        <v>0.362585291887794</v>
      </c>
      <c r="P330" s="16"/>
      <c r="Q330" s="16">
        <f>(Q327-P327)/(Q320-P320)</f>
        <v>0.0460662069452038</v>
      </c>
      <c r="R330" s="16"/>
      <c r="S330" s="202">
        <f t="shared" ref="S330" si="485">(S327-Q327)/(S320-Q320)</f>
        <v>4.24770642201836</v>
      </c>
      <c r="T330" s="3"/>
      <c r="U330" s="16">
        <f t="shared" ref="U330" si="486">(U327-T327)/(U320-T320)</f>
        <v>0.0671275566858903</v>
      </c>
      <c r="V330" s="16"/>
      <c r="W330" s="202">
        <f>(W327-U327)/(W320-U320)</f>
        <v>0.737293587819002</v>
      </c>
      <c r="Y330" s="16">
        <f t="shared" ref="Y330" si="487">(Y327-X327)/(Y320-X320)</f>
        <v>0.0415422673377122</v>
      </c>
      <c r="AA330" s="188"/>
      <c r="AB330" s="188"/>
      <c r="AC330" s="188"/>
      <c r="AD330" s="188"/>
      <c r="AE330" s="188"/>
      <c r="AF330" s="188"/>
    </row>
    <row r="331" spans="5:32">
      <c r="E331" s="188"/>
      <c r="F331" s="188"/>
      <c r="G331" s="188"/>
      <c r="H331" s="188"/>
      <c r="I331" s="188"/>
      <c r="J331" s="188"/>
      <c r="K331" s="188"/>
      <c r="O331" s="188"/>
      <c r="S331" s="188"/>
      <c r="W331" s="188"/>
      <c r="AA331" s="188"/>
      <c r="AB331" s="188"/>
      <c r="AC331" s="188"/>
      <c r="AD331" s="188"/>
      <c r="AE331" s="188"/>
      <c r="AF331" s="188"/>
    </row>
    <row r="332" s="151" customFormat="1" ht="18.5" spans="3:32">
      <c r="C332" s="127" t="s">
        <v>263</v>
      </c>
      <c r="D332" s="127"/>
      <c r="E332" s="176">
        <f>E327/E323</f>
        <v>0.282985420351629</v>
      </c>
      <c r="F332" s="176">
        <f t="shared" ref="F332:K332" si="488">F327/F323</f>
        <v>0.279881796114534</v>
      </c>
      <c r="G332" s="176">
        <f t="shared" si="488"/>
        <v>0.441033568904593</v>
      </c>
      <c r="H332" s="176">
        <f t="shared" si="488"/>
        <v>0.324873789057171</v>
      </c>
      <c r="I332" s="176">
        <f t="shared" si="488"/>
        <v>0.291973207422861</v>
      </c>
      <c r="J332" s="176">
        <f t="shared" si="488"/>
        <v>0.122148748049632</v>
      </c>
      <c r="K332" s="176">
        <f t="shared" si="488"/>
        <v>0.0913428766189504</v>
      </c>
      <c r="L332" s="176"/>
      <c r="M332" s="176">
        <f t="shared" ref="M332:O332" si="489">M327/M323</f>
        <v>0.083389256849415</v>
      </c>
      <c r="N332" s="176"/>
      <c r="O332" s="176">
        <f t="shared" si="489"/>
        <v>0.13075890043029</v>
      </c>
      <c r="P332" s="176"/>
      <c r="Q332" s="176">
        <f t="shared" ref="Q332:S332" si="490">Q327/Q323</f>
        <v>0.0644095381352798</v>
      </c>
      <c r="R332" s="176"/>
      <c r="S332" s="176">
        <f t="shared" si="490"/>
        <v>0.148374365720729</v>
      </c>
      <c r="T332" s="403"/>
      <c r="U332" s="176">
        <f t="shared" ref="U332:W332" si="491">U327/U323</f>
        <v>0.0892891175910043</v>
      </c>
      <c r="V332" s="176"/>
      <c r="W332" s="176">
        <f t="shared" si="491"/>
        <v>0.155527659942862</v>
      </c>
      <c r="X332" s="404"/>
      <c r="Y332" s="176">
        <f t="shared" ref="Y332" si="492">Y327/Y323</f>
        <v>0.057368359052892</v>
      </c>
      <c r="Z332" s="404"/>
      <c r="AA332" s="404"/>
      <c r="AB332" s="404"/>
      <c r="AC332" s="404"/>
      <c r="AD332" s="404"/>
      <c r="AE332" s="404"/>
      <c r="AF332" s="404"/>
    </row>
    <row r="333" ht="18.5" spans="3:32">
      <c r="C333" s="2" t="s">
        <v>264</v>
      </c>
      <c r="D333" s="2"/>
      <c r="E333" s="193"/>
      <c r="F333" s="202">
        <f>(F327-E327)/(F323-E323)</f>
        <v>0.273071470557726</v>
      </c>
      <c r="G333" s="202">
        <f t="shared" ref="G333:K333" si="493">(G327-F327)/(G323-F323)</f>
        <v>1.15619258067228</v>
      </c>
      <c r="H333" s="202">
        <f t="shared" si="493"/>
        <v>0.137093895037488</v>
      </c>
      <c r="I333" s="202">
        <f t="shared" si="493"/>
        <v>0.156355455568053</v>
      </c>
      <c r="J333" s="202">
        <f t="shared" si="493"/>
        <v>0.0353152546179329</v>
      </c>
      <c r="K333" s="202">
        <f t="shared" si="493"/>
        <v>-0.776963350785347</v>
      </c>
      <c r="L333" s="16"/>
      <c r="M333" s="16">
        <f t="shared" ref="M333" si="494">(M327-L327)/(M323-L323)</f>
        <v>0.083389256849415</v>
      </c>
      <c r="N333" s="16"/>
      <c r="O333" s="202">
        <f>(O327-M327)/(O323-M323)</f>
        <v>0.864046973803075</v>
      </c>
      <c r="P333" s="16"/>
      <c r="Q333" s="16">
        <f>(Q327-P327)/(Q323-P323)</f>
        <v>0.0644095381352798</v>
      </c>
      <c r="R333" s="16"/>
      <c r="S333" s="202">
        <f t="shared" ref="S333" si="495">(S327-Q327)/(S323-Q323)</f>
        <v>1.83821339950372</v>
      </c>
      <c r="T333" s="3"/>
      <c r="U333" s="16">
        <f t="shared" ref="U333" si="496">(U327-T327)/(U323-T323)</f>
        <v>0.0892891175910043</v>
      </c>
      <c r="V333" s="16"/>
      <c r="W333" s="202">
        <f>(W327-U327)/(W323-U323)</f>
        <v>0.813150425733208</v>
      </c>
      <c r="Y333" s="16">
        <f t="shared" ref="Y333" si="497">(Y327-X327)/(Y323-X323)</f>
        <v>0.057368359052892</v>
      </c>
      <c r="AA333" s="188"/>
      <c r="AB333" s="188"/>
      <c r="AC333" s="188"/>
      <c r="AD333" s="188"/>
      <c r="AE333" s="188"/>
      <c r="AF333" s="188"/>
    </row>
    <row r="334" ht="18.5" spans="3:32">
      <c r="C334" s="3"/>
      <c r="D334" s="3"/>
      <c r="E334" s="354"/>
      <c r="F334" s="354"/>
      <c r="G334" s="354"/>
      <c r="H334" s="354"/>
      <c r="I334" s="354"/>
      <c r="J334" s="354"/>
      <c r="K334" s="354"/>
      <c r="L334" s="3"/>
      <c r="M334" s="3"/>
      <c r="N334" s="3"/>
      <c r="O334" s="354"/>
      <c r="P334" s="3"/>
      <c r="Q334" s="3"/>
      <c r="R334" s="3"/>
      <c r="S334" s="354"/>
      <c r="T334" s="3"/>
      <c r="U334" s="3"/>
      <c r="V334" s="3"/>
      <c r="W334" s="193"/>
      <c r="AA334" s="188"/>
      <c r="AB334" s="188"/>
      <c r="AC334" s="188"/>
      <c r="AD334" s="188"/>
      <c r="AE334" s="188"/>
      <c r="AF334" s="188"/>
    </row>
    <row r="335" ht="26" spans="2:43">
      <c r="B335" s="290"/>
      <c r="C335" s="196" t="s">
        <v>265</v>
      </c>
      <c r="D335" s="196"/>
      <c r="E335" s="196"/>
      <c r="F335" s="196"/>
      <c r="G335" s="196"/>
      <c r="H335" s="196"/>
      <c r="I335" s="355"/>
      <c r="J335" s="310"/>
      <c r="K335" s="310"/>
      <c r="L335" s="310"/>
      <c r="M335" s="310"/>
      <c r="N335" s="310"/>
      <c r="O335" s="310"/>
      <c r="P335" s="310"/>
      <c r="Q335" s="310"/>
      <c r="R335" s="310"/>
      <c r="S335" s="310"/>
      <c r="T335" s="310"/>
      <c r="U335" s="310"/>
      <c r="V335" s="310"/>
      <c r="W335" s="310"/>
      <c r="X335" s="290"/>
      <c r="Y335" s="290"/>
      <c r="Z335" s="290"/>
      <c r="AA335" s="290"/>
      <c r="AB335" s="290"/>
      <c r="AC335" s="290"/>
      <c r="AD335" s="290"/>
      <c r="AE335" s="290"/>
      <c r="AF335" s="290"/>
      <c r="AP335"/>
      <c r="AQ335"/>
    </row>
    <row r="336" ht="18.5" spans="3:32">
      <c r="C336" s="2"/>
      <c r="D336" s="2"/>
      <c r="E336" s="193"/>
      <c r="F336" s="193"/>
      <c r="G336" s="193"/>
      <c r="H336" s="193"/>
      <c r="I336" s="193"/>
      <c r="J336" s="193"/>
      <c r="K336" s="193"/>
      <c r="L336" s="2"/>
      <c r="M336" s="2"/>
      <c r="N336" s="2"/>
      <c r="O336" s="193"/>
      <c r="P336" s="2"/>
      <c r="Q336" s="2"/>
      <c r="R336" s="2"/>
      <c r="S336" s="193"/>
      <c r="T336" s="2"/>
      <c r="U336" s="2"/>
      <c r="V336" s="2"/>
      <c r="W336" s="193"/>
      <c r="AA336" s="188"/>
      <c r="AB336" s="188"/>
      <c r="AC336" s="188"/>
      <c r="AD336" s="188"/>
      <c r="AE336" s="188"/>
      <c r="AF336" s="188"/>
    </row>
    <row r="337" ht="18.5" spans="3:32">
      <c r="C337" s="411" t="s">
        <v>196</v>
      </c>
      <c r="D337" s="411"/>
      <c r="E337" s="204">
        <f>E227</f>
        <v>53.971</v>
      </c>
      <c r="F337" s="204">
        <f>F227</f>
        <v>100.63</v>
      </c>
      <c r="G337" s="204">
        <f t="shared" ref="G337:K337" si="498">G227</f>
        <v>184.612</v>
      </c>
      <c r="H337" s="204">
        <f t="shared" si="498"/>
        <v>236.4</v>
      </c>
      <c r="I337" s="204">
        <f t="shared" si="498"/>
        <v>264.2</v>
      </c>
      <c r="J337" s="204">
        <f t="shared" si="498"/>
        <v>250.7</v>
      </c>
      <c r="K337" s="204">
        <f t="shared" si="498"/>
        <v>229.2</v>
      </c>
      <c r="L337" s="110"/>
      <c r="M337" s="110">
        <f t="shared" ref="M337:Q337" si="499">M227</f>
        <v>276.8</v>
      </c>
      <c r="N337" s="110"/>
      <c r="O337" s="204">
        <f t="shared" si="499"/>
        <v>459.6</v>
      </c>
      <c r="P337" s="110"/>
      <c r="Q337" s="110">
        <f t="shared" si="499"/>
        <v>216.2</v>
      </c>
      <c r="R337" s="110"/>
      <c r="S337" s="204">
        <f t="shared" ref="S337" si="500">S227</f>
        <v>272.5</v>
      </c>
      <c r="T337" s="110"/>
      <c r="U337" s="110"/>
      <c r="V337" s="110"/>
      <c r="W337" s="204">
        <f t="shared" ref="W337" si="501">W227</f>
        <v>605</v>
      </c>
      <c r="Y337" s="110"/>
      <c r="AA337" s="188"/>
      <c r="AB337" s="188"/>
      <c r="AC337" s="188"/>
      <c r="AD337" s="188"/>
      <c r="AE337" s="188"/>
      <c r="AF337" s="188"/>
    </row>
    <row r="338" ht="18.5" spans="3:32">
      <c r="C338" s="411" t="s">
        <v>194</v>
      </c>
      <c r="D338" s="411"/>
      <c r="E338" s="204">
        <v>20.531</v>
      </c>
      <c r="F338" s="204">
        <v>31.001</v>
      </c>
      <c r="G338" s="204">
        <v>53.8</v>
      </c>
      <c r="H338" s="204">
        <v>58.1</v>
      </c>
      <c r="I338" s="204">
        <v>75.7</v>
      </c>
      <c r="J338" s="204">
        <v>97.8</v>
      </c>
      <c r="K338" s="204">
        <v>94.8</v>
      </c>
      <c r="L338" s="110"/>
      <c r="M338" s="110">
        <v>87.8</v>
      </c>
      <c r="N338" s="110"/>
      <c r="O338" s="204">
        <v>195.1</v>
      </c>
      <c r="P338" s="110"/>
      <c r="Q338" s="110">
        <v>87.8</v>
      </c>
      <c r="R338" s="110"/>
      <c r="S338" s="204">
        <v>214.2</v>
      </c>
      <c r="T338" s="110"/>
      <c r="U338" s="110"/>
      <c r="V338" s="110"/>
      <c r="W338" s="374">
        <v>101.9</v>
      </c>
      <c r="Y338" s="2"/>
      <c r="AA338" s="188"/>
      <c r="AB338" s="188"/>
      <c r="AC338" s="188"/>
      <c r="AD338" s="188"/>
      <c r="AE338" s="188"/>
      <c r="AF338" s="188"/>
    </row>
    <row r="339" ht="18.5" spans="3:32">
      <c r="C339" s="411" t="s">
        <v>266</v>
      </c>
      <c r="D339" s="412"/>
      <c r="E339" s="204">
        <v>2.224</v>
      </c>
      <c r="F339" s="204">
        <v>1.775</v>
      </c>
      <c r="G339" s="204">
        <v>1.4</v>
      </c>
      <c r="H339" s="204">
        <v>1.4</v>
      </c>
      <c r="I339" s="204">
        <v>6.3</v>
      </c>
      <c r="J339" s="204">
        <v>78.1</v>
      </c>
      <c r="K339" s="204">
        <v>61</v>
      </c>
      <c r="L339" s="110"/>
      <c r="M339" s="110">
        <f>32.7-0.5</f>
        <v>32.2</v>
      </c>
      <c r="N339" s="110"/>
      <c r="O339" s="204">
        <f>67.9-1.4</f>
        <v>66.5</v>
      </c>
      <c r="P339" s="110"/>
      <c r="Q339" s="110">
        <f>35.7-1.1</f>
        <v>34.6</v>
      </c>
      <c r="R339" s="110"/>
      <c r="S339" s="204">
        <f>77.3-8.4</f>
        <v>68.9</v>
      </c>
      <c r="T339" s="110"/>
      <c r="U339" s="110"/>
      <c r="V339" s="110"/>
      <c r="W339" s="374">
        <f>101.9-5.5-39.2</f>
        <v>57.2</v>
      </c>
      <c r="Y339" s="2"/>
      <c r="AA339" s="188"/>
      <c r="AB339" s="188"/>
      <c r="AC339" s="188"/>
      <c r="AD339" s="188"/>
      <c r="AE339" s="188"/>
      <c r="AF339" s="188"/>
    </row>
    <row r="340" ht="18.5" spans="3:32">
      <c r="C340" s="411" t="s">
        <v>267</v>
      </c>
      <c r="D340" s="412"/>
      <c r="E340" s="204">
        <v>45.241</v>
      </c>
      <c r="F340" s="204">
        <v>48.778</v>
      </c>
      <c r="G340" s="204">
        <v>62.4</v>
      </c>
      <c r="H340" s="204">
        <v>71.3</v>
      </c>
      <c r="I340" s="204">
        <v>115</v>
      </c>
      <c r="J340" s="204">
        <v>450</v>
      </c>
      <c r="K340" s="204">
        <v>499.2</v>
      </c>
      <c r="L340" s="110"/>
      <c r="M340" s="110">
        <v>265.1</v>
      </c>
      <c r="N340" s="110"/>
      <c r="O340" s="204">
        <v>579.9</v>
      </c>
      <c r="P340" s="110"/>
      <c r="Q340" s="110">
        <v>309.1</v>
      </c>
      <c r="R340" s="110"/>
      <c r="S340" s="204">
        <v>633.2</v>
      </c>
      <c r="T340" s="110"/>
      <c r="U340" s="110">
        <v>324.4</v>
      </c>
      <c r="V340" s="110"/>
      <c r="W340" s="374">
        <v>908</v>
      </c>
      <c r="Y340" s="2">
        <v>291.9</v>
      </c>
      <c r="AA340" s="188"/>
      <c r="AB340" s="188"/>
      <c r="AC340" s="188"/>
      <c r="AD340" s="188"/>
      <c r="AE340" s="188"/>
      <c r="AF340" s="188"/>
    </row>
    <row r="341" ht="18.5" spans="3:32">
      <c r="C341" s="413" t="s">
        <v>268</v>
      </c>
      <c r="D341" s="411"/>
      <c r="E341" s="201">
        <f>SUM(E342:E344)</f>
        <v>-0.838999999999999</v>
      </c>
      <c r="F341" s="201">
        <f>SUM(F342:F344)</f>
        <v>42.481</v>
      </c>
      <c r="G341" s="201">
        <f t="shared" ref="G341:H341" si="502">SUM(G342:G344)</f>
        <v>18.1</v>
      </c>
      <c r="H341" s="201">
        <f t="shared" si="502"/>
        <v>9.60000000000001</v>
      </c>
      <c r="I341" s="201">
        <f t="shared" ref="I341" si="503">SUM(I342:I344)</f>
        <v>-27.5</v>
      </c>
      <c r="J341" s="201">
        <f t="shared" ref="J341:K341" si="504">SUM(J342:J344)</f>
        <v>35.6</v>
      </c>
      <c r="K341" s="201">
        <f t="shared" si="504"/>
        <v>259.2</v>
      </c>
      <c r="L341" s="110"/>
      <c r="M341" s="109">
        <f t="shared" ref="M341:Q341" si="505">SUM(M342:M344)</f>
        <v>-137.8</v>
      </c>
      <c r="N341" s="109"/>
      <c r="O341" s="201">
        <f t="shared" si="505"/>
        <v>-26.1</v>
      </c>
      <c r="P341" s="110"/>
      <c r="Q341" s="109">
        <f t="shared" si="505"/>
        <v>-461.2</v>
      </c>
      <c r="R341" s="109"/>
      <c r="S341" s="201">
        <f t="shared" ref="S341" si="506">SUM(S342:S344)</f>
        <v>-398.6</v>
      </c>
      <c r="T341" s="110"/>
      <c r="U341" s="110"/>
      <c r="V341" s="110"/>
      <c r="W341" s="201">
        <f t="shared" ref="W341" si="507">SUM(W342:W344)</f>
        <v>-197.1</v>
      </c>
      <c r="Y341" s="2"/>
      <c r="AA341" s="188"/>
      <c r="AB341" s="188"/>
      <c r="AC341" s="188"/>
      <c r="AD341" s="188"/>
      <c r="AE341" s="188"/>
      <c r="AF341" s="188"/>
    </row>
    <row r="342" ht="18.5" spans="3:32">
      <c r="C342" s="411" t="s">
        <v>269</v>
      </c>
      <c r="D342" s="411"/>
      <c r="E342" s="204">
        <v>-54.696</v>
      </c>
      <c r="F342" s="204">
        <v>-13.304</v>
      </c>
      <c r="G342" s="204">
        <v>-21.2</v>
      </c>
      <c r="H342" s="204">
        <v>-79</v>
      </c>
      <c r="I342" s="204">
        <v>-26.2</v>
      </c>
      <c r="J342" s="204">
        <v>-9.5</v>
      </c>
      <c r="K342" s="204">
        <v>63.5</v>
      </c>
      <c r="L342" s="110"/>
      <c r="M342" s="110">
        <v>-79.2</v>
      </c>
      <c r="N342" s="110"/>
      <c r="O342" s="204">
        <v>-31.8</v>
      </c>
      <c r="P342" s="110"/>
      <c r="Q342" s="110">
        <v>-401</v>
      </c>
      <c r="R342" s="110"/>
      <c r="S342" s="204">
        <v>-501.3</v>
      </c>
      <c r="T342" s="110"/>
      <c r="U342" s="110"/>
      <c r="V342" s="110"/>
      <c r="W342" s="374">
        <v>-196.2</v>
      </c>
      <c r="Y342" s="2"/>
      <c r="AA342" s="188"/>
      <c r="AB342" s="188"/>
      <c r="AC342" s="188"/>
      <c r="AD342" s="188"/>
      <c r="AE342" s="188"/>
      <c r="AF342" s="188"/>
    </row>
    <row r="343" ht="18.5" spans="3:32">
      <c r="C343" s="411" t="s">
        <v>270</v>
      </c>
      <c r="D343" s="411"/>
      <c r="E343" s="204">
        <v>7.76</v>
      </c>
      <c r="F343" s="204">
        <v>0.047</v>
      </c>
      <c r="G343" s="204">
        <v>-4.6</v>
      </c>
      <c r="H343" s="204">
        <v>-22.1</v>
      </c>
      <c r="I343" s="204">
        <v>-22.5</v>
      </c>
      <c r="J343" s="204">
        <v>-13</v>
      </c>
      <c r="K343" s="204">
        <v>46.2</v>
      </c>
      <c r="L343" s="110"/>
      <c r="M343" s="110">
        <v>-62.1</v>
      </c>
      <c r="N343" s="110"/>
      <c r="O343" s="204">
        <v>-69.3</v>
      </c>
      <c r="P343" s="110"/>
      <c r="Q343" s="110">
        <v>-103.4</v>
      </c>
      <c r="R343" s="110"/>
      <c r="S343" s="204">
        <v>-49</v>
      </c>
      <c r="T343" s="110"/>
      <c r="U343" s="110"/>
      <c r="V343" s="110"/>
      <c r="W343" s="374">
        <v>-35.6</v>
      </c>
      <c r="Y343" s="2"/>
      <c r="AA343" s="188"/>
      <c r="AB343" s="188"/>
      <c r="AC343" s="188"/>
      <c r="AD343" s="188"/>
      <c r="AE343" s="188"/>
      <c r="AF343" s="188"/>
    </row>
    <row r="344" ht="18.5" spans="3:32">
      <c r="C344" s="411" t="s">
        <v>271</v>
      </c>
      <c r="D344" s="411"/>
      <c r="E344" s="204">
        <v>46.097</v>
      </c>
      <c r="F344" s="204">
        <v>55.738</v>
      </c>
      <c r="G344" s="204">
        <v>43.9</v>
      </c>
      <c r="H344" s="204">
        <v>110.7</v>
      </c>
      <c r="I344" s="204">
        <v>21.2</v>
      </c>
      <c r="J344" s="204">
        <v>58.1</v>
      </c>
      <c r="K344" s="204">
        <v>149.5</v>
      </c>
      <c r="L344" s="110"/>
      <c r="M344" s="110">
        <v>3.5</v>
      </c>
      <c r="N344" s="110"/>
      <c r="O344" s="204">
        <v>75</v>
      </c>
      <c r="P344" s="110"/>
      <c r="Q344" s="110">
        <v>43.2</v>
      </c>
      <c r="R344" s="110"/>
      <c r="S344" s="204">
        <v>151.7</v>
      </c>
      <c r="T344" s="110"/>
      <c r="U344" s="110"/>
      <c r="V344" s="110"/>
      <c r="W344" s="374">
        <v>34.7</v>
      </c>
      <c r="Y344" s="2"/>
      <c r="AA344" s="188"/>
      <c r="AB344" s="188"/>
      <c r="AC344" s="188"/>
      <c r="AD344" s="188"/>
      <c r="AE344" s="188"/>
      <c r="AF344" s="188"/>
    </row>
    <row r="345" ht="18.5" spans="3:32">
      <c r="C345" s="411" t="s">
        <v>272</v>
      </c>
      <c r="D345" s="411"/>
      <c r="E345" s="204">
        <v>-2.881</v>
      </c>
      <c r="F345" s="204">
        <v>-2.163</v>
      </c>
      <c r="G345" s="204">
        <v>-2.2</v>
      </c>
      <c r="H345" s="204">
        <v>-2</v>
      </c>
      <c r="I345" s="204">
        <v>-7.5</v>
      </c>
      <c r="J345" s="204">
        <v>-7.9</v>
      </c>
      <c r="K345" s="204">
        <v>-7.6</v>
      </c>
      <c r="L345" s="110"/>
      <c r="M345" s="110">
        <v>-3.9</v>
      </c>
      <c r="N345" s="110"/>
      <c r="O345" s="204">
        <v>-8.4</v>
      </c>
      <c r="P345" s="110"/>
      <c r="Q345" s="110">
        <v>-3.6</v>
      </c>
      <c r="R345" s="110"/>
      <c r="S345" s="204">
        <v>-8.4</v>
      </c>
      <c r="T345" s="110"/>
      <c r="U345" s="110"/>
      <c r="V345" s="110"/>
      <c r="W345" s="374">
        <v>-17.5</v>
      </c>
      <c r="Y345" s="2"/>
      <c r="AA345" s="188"/>
      <c r="AB345" s="188"/>
      <c r="AC345" s="188"/>
      <c r="AD345" s="188"/>
      <c r="AE345" s="188"/>
      <c r="AF345" s="188"/>
    </row>
    <row r="346" ht="18.5" spans="3:32">
      <c r="C346" s="411" t="s">
        <v>273</v>
      </c>
      <c r="D346" s="411"/>
      <c r="E346" s="204">
        <v>0</v>
      </c>
      <c r="F346" s="204">
        <v>0</v>
      </c>
      <c r="G346" s="204">
        <v>0</v>
      </c>
      <c r="H346" s="204">
        <v>0</v>
      </c>
      <c r="I346" s="204">
        <v>0</v>
      </c>
      <c r="J346" s="204">
        <v>-71.9</v>
      </c>
      <c r="K346" s="204">
        <v>-54.9</v>
      </c>
      <c r="L346" s="110"/>
      <c r="M346" s="110">
        <v>-28.8</v>
      </c>
      <c r="N346" s="110"/>
      <c r="O346" s="204">
        <v>-59.5</v>
      </c>
      <c r="P346" s="110"/>
      <c r="Q346" s="110">
        <v>-32.1</v>
      </c>
      <c r="R346" s="110"/>
      <c r="S346" s="204">
        <v>-68.9</v>
      </c>
      <c r="T346" s="110"/>
      <c r="U346" s="110"/>
      <c r="V346" s="110"/>
      <c r="W346" s="374">
        <v>-84.4</v>
      </c>
      <c r="Y346" s="2"/>
      <c r="AA346" s="188"/>
      <c r="AB346" s="188"/>
      <c r="AC346" s="188"/>
      <c r="AD346" s="188"/>
      <c r="AE346" s="188"/>
      <c r="AF346" s="188"/>
    </row>
    <row r="347" ht="18.5" spans="3:32">
      <c r="C347" s="411" t="s">
        <v>274</v>
      </c>
      <c r="D347" s="411"/>
      <c r="E347" s="204">
        <v>-20.811</v>
      </c>
      <c r="F347" s="204">
        <v>-29.981</v>
      </c>
      <c r="G347" s="204">
        <v>-40.1</v>
      </c>
      <c r="H347" s="204">
        <v>-57.8</v>
      </c>
      <c r="I347" s="204">
        <v>-80.3</v>
      </c>
      <c r="J347" s="204">
        <v>-97.8</v>
      </c>
      <c r="K347" s="204">
        <v>-130.4</v>
      </c>
      <c r="L347" s="110"/>
      <c r="M347" s="110">
        <v>-111</v>
      </c>
      <c r="N347" s="110"/>
      <c r="O347" s="204">
        <v>-244.1</v>
      </c>
      <c r="P347" s="110"/>
      <c r="Q347" s="110">
        <v>-71.6</v>
      </c>
      <c r="R347" s="110"/>
      <c r="S347" s="204">
        <v>-174.4</v>
      </c>
      <c r="T347" s="110"/>
      <c r="U347" s="110"/>
      <c r="V347" s="110"/>
      <c r="W347" s="374">
        <v>-208.6</v>
      </c>
      <c r="Y347" s="2"/>
      <c r="AA347" s="188"/>
      <c r="AB347" s="188"/>
      <c r="AC347" s="188"/>
      <c r="AD347" s="188"/>
      <c r="AE347" s="188"/>
      <c r="AF347" s="188"/>
    </row>
    <row r="348" ht="18.5" spans="3:32">
      <c r="C348" s="411" t="s">
        <v>130</v>
      </c>
      <c r="D348" s="411"/>
      <c r="E348" s="204">
        <f t="shared" ref="E348:K348" si="508">E349-SUM(E337:E340)-E341-E345-E346-E347</f>
        <v>18.564</v>
      </c>
      <c r="F348" s="204">
        <f t="shared" si="508"/>
        <v>33.479</v>
      </c>
      <c r="G348" s="204">
        <f t="shared" si="508"/>
        <v>0.988000000000071</v>
      </c>
      <c r="H348" s="204">
        <f t="shared" si="508"/>
        <v>21.9999999999998</v>
      </c>
      <c r="I348" s="204">
        <f t="shared" si="508"/>
        <v>32.1</v>
      </c>
      <c r="J348" s="204">
        <f t="shared" si="508"/>
        <v>119.4</v>
      </c>
      <c r="K348" s="204">
        <f t="shared" si="508"/>
        <v>110.5</v>
      </c>
      <c r="L348" s="110"/>
      <c r="M348" s="110">
        <f>M349-SUM(M337:M340)-M341-M345-M346-M347</f>
        <v>81.4999999999997</v>
      </c>
      <c r="N348" s="110"/>
      <c r="O348" s="204">
        <f>O349-SUM(O337:O340)-O341-O345-O346-O347</f>
        <v>304</v>
      </c>
      <c r="P348" s="110"/>
      <c r="Q348" s="110">
        <f>Q349-SUM(Q337:Q340)-Q341-Q345-Q346-Q347</f>
        <v>90.6</v>
      </c>
      <c r="R348" s="110"/>
      <c r="S348" s="204">
        <f>S349-SUM(S337:S340)-S341-S345-S346-S347</f>
        <v>543</v>
      </c>
      <c r="T348" s="110"/>
      <c r="U348" s="110"/>
      <c r="V348" s="110"/>
      <c r="W348" s="204">
        <f>W349-SUM(W337:W340)-W341-W345-W346-W347</f>
        <v>-23.7000000000004</v>
      </c>
      <c r="Y348" s="2"/>
      <c r="AA348" s="188"/>
      <c r="AB348" s="188"/>
      <c r="AC348" s="188"/>
      <c r="AD348" s="188"/>
      <c r="AE348" s="188"/>
      <c r="AF348" s="188"/>
    </row>
    <row r="349" s="151" customFormat="1" ht="18.5" spans="3:32">
      <c r="C349" s="413" t="s">
        <v>275</v>
      </c>
      <c r="D349" s="413"/>
      <c r="E349" s="201">
        <v>116</v>
      </c>
      <c r="F349" s="201">
        <v>226</v>
      </c>
      <c r="G349" s="201">
        <v>279</v>
      </c>
      <c r="H349" s="201">
        <v>339</v>
      </c>
      <c r="I349" s="201">
        <v>378</v>
      </c>
      <c r="J349" s="201">
        <v>854</v>
      </c>
      <c r="K349" s="201">
        <v>1061</v>
      </c>
      <c r="L349" s="109"/>
      <c r="M349" s="109">
        <v>461.9</v>
      </c>
      <c r="N349" s="109"/>
      <c r="O349" s="201">
        <v>1267</v>
      </c>
      <c r="P349" s="109"/>
      <c r="Q349" s="109">
        <v>169.8</v>
      </c>
      <c r="R349" s="109"/>
      <c r="S349" s="201">
        <v>1081.5</v>
      </c>
      <c r="T349" s="109"/>
      <c r="U349" s="109">
        <v>296.7</v>
      </c>
      <c r="V349" s="109"/>
      <c r="W349" s="201">
        <v>1140.8</v>
      </c>
      <c r="Y349" s="8">
        <v>319.1</v>
      </c>
      <c r="AA349" s="405"/>
      <c r="AB349" s="405"/>
      <c r="AC349" s="405"/>
      <c r="AD349" s="405"/>
      <c r="AE349" s="405"/>
      <c r="AF349" s="405"/>
    </row>
    <row r="350" ht="18.5" spans="3:32">
      <c r="C350" s="2"/>
      <c r="D350" s="2"/>
      <c r="E350" s="193"/>
      <c r="F350" s="204"/>
      <c r="G350" s="204"/>
      <c r="H350" s="204"/>
      <c r="I350" s="204"/>
      <c r="J350" s="204"/>
      <c r="K350" s="204"/>
      <c r="L350" s="110"/>
      <c r="M350" s="110"/>
      <c r="N350" s="110"/>
      <c r="O350" s="204"/>
      <c r="P350" s="110"/>
      <c r="Q350" s="110"/>
      <c r="R350" s="110"/>
      <c r="S350" s="204"/>
      <c r="T350" s="110"/>
      <c r="U350" s="110"/>
      <c r="V350" s="110"/>
      <c r="W350" s="204"/>
      <c r="Y350" s="2"/>
      <c r="AA350" s="188"/>
      <c r="AB350" s="188"/>
      <c r="AC350" s="188"/>
      <c r="AD350" s="188"/>
      <c r="AE350" s="188"/>
      <c r="AF350" s="188"/>
    </row>
    <row r="351" ht="18.5" spans="3:32">
      <c r="C351" s="414" t="s">
        <v>276</v>
      </c>
      <c r="D351" s="414"/>
      <c r="E351" s="415">
        <v>0.657</v>
      </c>
      <c r="F351" s="204">
        <v>0.388</v>
      </c>
      <c r="G351" s="204">
        <v>0.8</v>
      </c>
      <c r="H351" s="204">
        <v>0.6</v>
      </c>
      <c r="I351" s="204">
        <v>1.2</v>
      </c>
      <c r="J351" s="204">
        <v>1.7</v>
      </c>
      <c r="K351" s="204">
        <v>1.5</v>
      </c>
      <c r="L351" s="110"/>
      <c r="M351" s="110">
        <v>0.5</v>
      </c>
      <c r="N351" s="110"/>
      <c r="O351" s="204">
        <v>1.4</v>
      </c>
      <c r="P351" s="110"/>
      <c r="Q351" s="110">
        <v>1.1</v>
      </c>
      <c r="R351" s="110"/>
      <c r="S351" s="204">
        <v>8.4</v>
      </c>
      <c r="T351" s="110"/>
      <c r="U351" s="110">
        <v>16.1</v>
      </c>
      <c r="V351" s="110"/>
      <c r="W351" s="374">
        <v>39.2</v>
      </c>
      <c r="Y351" s="2">
        <v>15.1</v>
      </c>
      <c r="AA351" s="188"/>
      <c r="AB351" s="188"/>
      <c r="AC351" s="188"/>
      <c r="AD351" s="188"/>
      <c r="AE351" s="188"/>
      <c r="AF351" s="188"/>
    </row>
    <row r="352" ht="18.5" spans="3:32">
      <c r="C352" s="414" t="s">
        <v>277</v>
      </c>
      <c r="D352" s="414"/>
      <c r="E352" s="415">
        <v>0.705</v>
      </c>
      <c r="F352" s="204">
        <v>1.145</v>
      </c>
      <c r="G352" s="204">
        <v>2.5</v>
      </c>
      <c r="H352" s="204">
        <v>6.7</v>
      </c>
      <c r="I352" s="204">
        <v>1</v>
      </c>
      <c r="J352" s="204">
        <v>3.1</v>
      </c>
      <c r="K352" s="204">
        <v>2.1</v>
      </c>
      <c r="L352" s="110"/>
      <c r="M352" s="110">
        <v>2.4</v>
      </c>
      <c r="N352" s="110"/>
      <c r="O352" s="204">
        <v>7.8</v>
      </c>
      <c r="P352" s="110"/>
      <c r="Q352" s="110">
        <v>4.5</v>
      </c>
      <c r="R352" s="110"/>
      <c r="S352" s="204">
        <v>11.5</v>
      </c>
      <c r="T352" s="110"/>
      <c r="U352" s="110">
        <v>3.5</v>
      </c>
      <c r="V352" s="110"/>
      <c r="W352" s="374">
        <v>11.1</v>
      </c>
      <c r="Y352" s="2">
        <v>3</v>
      </c>
      <c r="AA352" s="188"/>
      <c r="AB352" s="188"/>
      <c r="AC352" s="188"/>
      <c r="AD352" s="188"/>
      <c r="AE352" s="188"/>
      <c r="AF352" s="188"/>
    </row>
    <row r="353" ht="18.5" spans="3:32">
      <c r="C353" s="413" t="s">
        <v>278</v>
      </c>
      <c r="D353" s="416"/>
      <c r="E353" s="219">
        <f>SUM(E354:E356)</f>
        <v>-63.077</v>
      </c>
      <c r="F353" s="219">
        <f>SUM(F354:F356)</f>
        <v>-79.108</v>
      </c>
      <c r="G353" s="219">
        <f t="shared" ref="G353:K353" si="509">SUM(G354:G356)</f>
        <v>-222.8</v>
      </c>
      <c r="H353" s="219">
        <f t="shared" si="509"/>
        <v>-207</v>
      </c>
      <c r="I353" s="219">
        <f t="shared" si="509"/>
        <v>-540.7</v>
      </c>
      <c r="J353" s="219">
        <f t="shared" si="509"/>
        <v>-243.3</v>
      </c>
      <c r="K353" s="219">
        <f t="shared" si="509"/>
        <v>-112.9</v>
      </c>
      <c r="L353" s="110"/>
      <c r="M353" s="220">
        <f t="shared" ref="M353" si="510">SUM(M354:M356)</f>
        <v>-79</v>
      </c>
      <c r="N353" s="220"/>
      <c r="O353" s="219">
        <f t="shared" ref="O353" si="511">SUM(O354:O356)</f>
        <v>-238.2</v>
      </c>
      <c r="P353" s="110"/>
      <c r="Q353" s="220">
        <f t="shared" ref="Q353:U353" si="512">SUM(Q354:Q356)</f>
        <v>-221.8</v>
      </c>
      <c r="R353" s="220"/>
      <c r="S353" s="219">
        <f t="shared" si="512"/>
        <v>-359.3</v>
      </c>
      <c r="T353" s="110"/>
      <c r="U353" s="220">
        <f t="shared" si="512"/>
        <v>-209.1</v>
      </c>
      <c r="V353" s="220"/>
      <c r="W353" s="219">
        <f t="shared" ref="W353" si="513">SUM(W354:W356)</f>
        <v>-539.7</v>
      </c>
      <c r="Y353" s="220">
        <f t="shared" ref="Y353" si="514">SUM(Y354:Y356)</f>
        <v>-251.2</v>
      </c>
      <c r="AA353" s="188"/>
      <c r="AB353" s="188"/>
      <c r="AC353" s="188"/>
      <c r="AD353" s="188"/>
      <c r="AE353" s="188"/>
      <c r="AF353" s="188"/>
    </row>
    <row r="354" ht="18.5" spans="3:32">
      <c r="C354" s="414" t="s">
        <v>279</v>
      </c>
      <c r="D354" s="417"/>
      <c r="E354" s="415">
        <v>-0.029</v>
      </c>
      <c r="F354" s="204">
        <v>0</v>
      </c>
      <c r="G354" s="204">
        <v>-77.3</v>
      </c>
      <c r="H354" s="204">
        <v>-169.3</v>
      </c>
      <c r="I354" s="204">
        <v>-173.6</v>
      </c>
      <c r="J354" s="204">
        <v>-147.2</v>
      </c>
      <c r="K354" s="204">
        <v>-105.2</v>
      </c>
      <c r="L354" s="110"/>
      <c r="M354" s="110">
        <v>-77.7</v>
      </c>
      <c r="N354" s="110"/>
      <c r="O354" s="204">
        <v>-227.3</v>
      </c>
      <c r="P354" s="110"/>
      <c r="Q354" s="110">
        <v>-139.9</v>
      </c>
      <c r="R354" s="110"/>
      <c r="S354" s="204">
        <v>-19.9</v>
      </c>
      <c r="T354" s="110"/>
      <c r="U354" s="110">
        <v>-8.1</v>
      </c>
      <c r="V354" s="110"/>
      <c r="W354" s="374">
        <v>-29.5</v>
      </c>
      <c r="Y354" s="2">
        <v>-13.4</v>
      </c>
      <c r="AA354" s="188"/>
      <c r="AB354" s="188"/>
      <c r="AC354" s="188"/>
      <c r="AD354" s="188"/>
      <c r="AE354" s="188"/>
      <c r="AF354" s="188"/>
    </row>
    <row r="355" ht="18.5" spans="3:32">
      <c r="C355" s="417" t="s">
        <v>280</v>
      </c>
      <c r="D355" s="417"/>
      <c r="E355" s="415">
        <v>-52.924</v>
      </c>
      <c r="F355" s="204">
        <v>-72.765</v>
      </c>
      <c r="G355" s="204">
        <v>-6.9</v>
      </c>
      <c r="H355" s="204">
        <v>-12.8</v>
      </c>
      <c r="I355" s="204">
        <v>-5.1</v>
      </c>
      <c r="J355" s="204">
        <v>-6.8</v>
      </c>
      <c r="K355" s="204">
        <v>-3.9</v>
      </c>
      <c r="L355" s="110"/>
      <c r="M355" s="110">
        <v>-1.3</v>
      </c>
      <c r="N355" s="110"/>
      <c r="O355" s="204">
        <v>-5.7</v>
      </c>
      <c r="P355" s="110"/>
      <c r="Q355" s="110">
        <v>-5.7</v>
      </c>
      <c r="R355" s="110"/>
      <c r="S355" s="204">
        <v>-326.6</v>
      </c>
      <c r="T355" s="110"/>
      <c r="U355" s="110">
        <v>-197.7</v>
      </c>
      <c r="V355" s="110"/>
      <c r="W355" s="374">
        <v>-500</v>
      </c>
      <c r="Y355" s="2">
        <v>-230.7</v>
      </c>
      <c r="AA355" s="188"/>
      <c r="AB355" s="188"/>
      <c r="AC355" s="188"/>
      <c r="AD355" s="188"/>
      <c r="AE355" s="188"/>
      <c r="AF355" s="188"/>
    </row>
    <row r="356" ht="18.5" spans="3:32">
      <c r="C356" s="417" t="s">
        <v>281</v>
      </c>
      <c r="D356" s="417"/>
      <c r="E356" s="415">
        <v>-10.124</v>
      </c>
      <c r="F356" s="204">
        <v>-6.343</v>
      </c>
      <c r="G356" s="204">
        <v>-138.6</v>
      </c>
      <c r="H356" s="204">
        <v>-24.9</v>
      </c>
      <c r="I356" s="204">
        <v>-362</v>
      </c>
      <c r="J356" s="204">
        <v>-89.3</v>
      </c>
      <c r="K356" s="204">
        <v>-3.8</v>
      </c>
      <c r="L356" s="110"/>
      <c r="M356" s="110">
        <v>0</v>
      </c>
      <c r="N356" s="110"/>
      <c r="O356" s="204">
        <v>-5.2</v>
      </c>
      <c r="P356" s="110"/>
      <c r="Q356" s="110">
        <v>-76.2</v>
      </c>
      <c r="R356" s="110"/>
      <c r="S356" s="204">
        <v>-12.8</v>
      </c>
      <c r="T356" s="110"/>
      <c r="U356" s="110">
        <v>-3.3</v>
      </c>
      <c r="V356" s="110"/>
      <c r="W356" s="374">
        <v>-10.2</v>
      </c>
      <c r="Y356" s="2">
        <v>-7.1</v>
      </c>
      <c r="AA356" s="188"/>
      <c r="AB356" s="188"/>
      <c r="AC356" s="188"/>
      <c r="AD356" s="188"/>
      <c r="AE356" s="188"/>
      <c r="AF356" s="188"/>
    </row>
    <row r="357" ht="18.5" spans="3:32">
      <c r="C357" s="414" t="s">
        <v>130</v>
      </c>
      <c r="D357" s="417"/>
      <c r="E357" s="415">
        <f t="shared" ref="E357:K357" si="515">E358-E351-E352-E353</f>
        <v>1.904</v>
      </c>
      <c r="F357" s="415">
        <f t="shared" si="515"/>
        <v>-4.401</v>
      </c>
      <c r="G357" s="415">
        <f t="shared" si="515"/>
        <v>-3.80000000000001</v>
      </c>
      <c r="H357" s="415">
        <f t="shared" si="515"/>
        <v>-4.49999999999997</v>
      </c>
      <c r="I357" s="415">
        <f t="shared" si="515"/>
        <v>-12.3000000000001</v>
      </c>
      <c r="J357" s="415">
        <f t="shared" si="515"/>
        <v>-23.2</v>
      </c>
      <c r="K357" s="415">
        <f t="shared" si="515"/>
        <v>-220.7</v>
      </c>
      <c r="L357" s="110"/>
      <c r="M357" s="426">
        <f>M358-M351-M352-M353</f>
        <v>-378.1</v>
      </c>
      <c r="N357" s="426"/>
      <c r="O357" s="415">
        <f>O358-O351-O352-O353</f>
        <v>-619</v>
      </c>
      <c r="P357" s="110"/>
      <c r="Q357" s="426">
        <f>Q358-Q351-Q352-Q353</f>
        <v>60.7</v>
      </c>
      <c r="R357" s="426"/>
      <c r="S357" s="415">
        <f>S358-S351-S352-S353</f>
        <v>47.7</v>
      </c>
      <c r="T357" s="110"/>
      <c r="U357" s="426">
        <f>U358-U351-U352-U353</f>
        <v>-61.2</v>
      </c>
      <c r="V357" s="426"/>
      <c r="W357" s="415">
        <f>W358-W351-W352-W353</f>
        <v>-54.1</v>
      </c>
      <c r="Y357" s="426">
        <f>Y358-Y351-Y352-Y353</f>
        <v>-812.1</v>
      </c>
      <c r="AA357" s="188"/>
      <c r="AB357" s="188"/>
      <c r="AC357" s="188"/>
      <c r="AD357" s="188"/>
      <c r="AE357" s="188"/>
      <c r="AF357" s="188"/>
    </row>
    <row r="358" s="151" customFormat="1" ht="18.5" spans="3:32">
      <c r="C358" s="413" t="s">
        <v>282</v>
      </c>
      <c r="D358" s="413"/>
      <c r="E358" s="201">
        <v>-59.811</v>
      </c>
      <c r="F358" s="201">
        <v>-81.976</v>
      </c>
      <c r="G358" s="201">
        <v>-223.3</v>
      </c>
      <c r="H358" s="201">
        <v>-204.2</v>
      </c>
      <c r="I358" s="201">
        <v>-550.8</v>
      </c>
      <c r="J358" s="201">
        <v>-261.7</v>
      </c>
      <c r="K358" s="201">
        <v>-330</v>
      </c>
      <c r="L358" s="109"/>
      <c r="M358" s="109">
        <v>-454.2</v>
      </c>
      <c r="N358" s="109"/>
      <c r="O358" s="201">
        <v>-848</v>
      </c>
      <c r="P358" s="109"/>
      <c r="Q358" s="109">
        <v>-155.5</v>
      </c>
      <c r="R358" s="109"/>
      <c r="S358" s="201">
        <v>-291.7</v>
      </c>
      <c r="T358" s="109"/>
      <c r="U358" s="109">
        <v>-250.7</v>
      </c>
      <c r="V358" s="109"/>
      <c r="W358" s="201">
        <v>-543.5</v>
      </c>
      <c r="Y358" s="8">
        <v>-1045.2</v>
      </c>
      <c r="AA358" s="405"/>
      <c r="AB358" s="405"/>
      <c r="AC358" s="405"/>
      <c r="AD358" s="405"/>
      <c r="AE358" s="405"/>
      <c r="AF358" s="405"/>
    </row>
    <row r="359" ht="18.5" spans="3:32">
      <c r="C359" s="2"/>
      <c r="D359" s="2"/>
      <c r="E359" s="193"/>
      <c r="F359" s="204"/>
      <c r="G359" s="204"/>
      <c r="H359" s="204"/>
      <c r="I359" s="204"/>
      <c r="J359" s="204"/>
      <c r="K359" s="204"/>
      <c r="L359" s="110"/>
      <c r="M359" s="110"/>
      <c r="N359" s="110"/>
      <c r="O359" s="204"/>
      <c r="P359" s="110"/>
      <c r="Q359" s="110"/>
      <c r="R359" s="110"/>
      <c r="S359" s="204"/>
      <c r="T359" s="110"/>
      <c r="U359" s="110"/>
      <c r="V359" s="110"/>
      <c r="W359" s="204"/>
      <c r="Y359" s="2"/>
      <c r="AA359" s="188"/>
      <c r="AB359" s="188"/>
      <c r="AC359" s="188"/>
      <c r="AD359" s="188"/>
      <c r="AE359" s="188"/>
      <c r="AF359" s="188"/>
    </row>
    <row r="360" ht="18.5" spans="3:32">
      <c r="C360" s="411" t="s">
        <v>283</v>
      </c>
      <c r="D360" s="411"/>
      <c r="E360" s="415">
        <v>-0.291</v>
      </c>
      <c r="F360" s="204">
        <v>-0.191</v>
      </c>
      <c r="G360" s="204">
        <v>-3.2</v>
      </c>
      <c r="H360" s="204">
        <v>-11.4</v>
      </c>
      <c r="I360" s="204">
        <v>82.1</v>
      </c>
      <c r="J360" s="204">
        <v>-88.6</v>
      </c>
      <c r="K360" s="204">
        <v>-391.5</v>
      </c>
      <c r="L360" s="110"/>
      <c r="M360" s="110">
        <v>-207.5</v>
      </c>
      <c r="N360" s="110"/>
      <c r="O360" s="204">
        <v>-513.3</v>
      </c>
      <c r="P360" s="110"/>
      <c r="Q360" s="110">
        <v>-21.7</v>
      </c>
      <c r="R360" s="110"/>
      <c r="S360" s="204">
        <v>-37.4</v>
      </c>
      <c r="T360" s="110"/>
      <c r="U360" s="110">
        <v>-39.4</v>
      </c>
      <c r="V360" s="110"/>
      <c r="W360" s="204">
        <v>-124.9</v>
      </c>
      <c r="Y360" s="2">
        <v>-44.5</v>
      </c>
      <c r="AA360" s="188"/>
      <c r="AB360" s="188"/>
      <c r="AC360" s="188"/>
      <c r="AD360" s="188"/>
      <c r="AE360" s="188"/>
      <c r="AF360" s="188"/>
    </row>
    <row r="361" ht="18.5" spans="3:32">
      <c r="C361" s="411" t="s">
        <v>284</v>
      </c>
      <c r="D361" s="411"/>
      <c r="E361" s="415">
        <v>0</v>
      </c>
      <c r="F361" s="415">
        <v>0</v>
      </c>
      <c r="G361" s="415">
        <v>0</v>
      </c>
      <c r="H361" s="415">
        <v>0</v>
      </c>
      <c r="I361" s="415">
        <v>0</v>
      </c>
      <c r="J361" s="415">
        <v>0</v>
      </c>
      <c r="K361" s="204">
        <v>443.1</v>
      </c>
      <c r="L361" s="110"/>
      <c r="M361" s="110">
        <v>176.3</v>
      </c>
      <c r="N361" s="110"/>
      <c r="O361" s="204">
        <v>303.7</v>
      </c>
      <c r="P361" s="110"/>
      <c r="Q361" s="110">
        <v>12.5</v>
      </c>
      <c r="R361" s="110"/>
      <c r="S361" s="204">
        <v>15.5</v>
      </c>
      <c r="T361" s="110"/>
      <c r="U361" s="110">
        <v>32.8</v>
      </c>
      <c r="V361" s="110"/>
      <c r="W361" s="204">
        <v>119.1</v>
      </c>
      <c r="Y361" s="2">
        <v>803.8</v>
      </c>
      <c r="AA361" s="188"/>
      <c r="AB361" s="188"/>
      <c r="AC361" s="188"/>
      <c r="AD361" s="188"/>
      <c r="AE361" s="188"/>
      <c r="AF361" s="188"/>
    </row>
    <row r="362" ht="18.5" spans="3:32">
      <c r="C362" s="411" t="s">
        <v>285</v>
      </c>
      <c r="D362" s="411"/>
      <c r="E362" s="415">
        <v>0</v>
      </c>
      <c r="F362" s="415">
        <v>0</v>
      </c>
      <c r="G362" s="415">
        <v>0</v>
      </c>
      <c r="H362" s="415">
        <v>0</v>
      </c>
      <c r="I362" s="204">
        <v>0</v>
      </c>
      <c r="J362" s="204">
        <v>-264.8</v>
      </c>
      <c r="K362" s="204">
        <v>-285.2</v>
      </c>
      <c r="L362" s="110"/>
      <c r="M362" s="110">
        <v>-2.5</v>
      </c>
      <c r="N362" s="110"/>
      <c r="O362" s="204">
        <v>-350.1</v>
      </c>
      <c r="P362" s="110"/>
      <c r="Q362" s="110">
        <v>-2.8</v>
      </c>
      <c r="R362" s="110"/>
      <c r="S362" s="204">
        <v>-400.5</v>
      </c>
      <c r="T362" s="110"/>
      <c r="U362" s="110">
        <v>-188</v>
      </c>
      <c r="V362" s="110"/>
      <c r="W362" s="204">
        <v>-400</v>
      </c>
      <c r="Y362" s="2">
        <v>-189.1</v>
      </c>
      <c r="AA362" s="188"/>
      <c r="AB362" s="188"/>
      <c r="AC362" s="188"/>
      <c r="AD362" s="188"/>
      <c r="AE362" s="188"/>
      <c r="AF362" s="188"/>
    </row>
    <row r="363" ht="18.5" spans="3:32">
      <c r="C363" s="411" t="s">
        <v>286</v>
      </c>
      <c r="D363" s="411"/>
      <c r="E363" s="415">
        <v>-13.26</v>
      </c>
      <c r="F363" s="204">
        <v>-13.82</v>
      </c>
      <c r="G363" s="204">
        <v>-14.5</v>
      </c>
      <c r="H363" s="204">
        <v>-15.2</v>
      </c>
      <c r="I363" s="204">
        <v>-15.9</v>
      </c>
      <c r="J363" s="204">
        <v>-16.7</v>
      </c>
      <c r="K363" s="204">
        <v>0</v>
      </c>
      <c r="L363" s="110"/>
      <c r="M363" s="110">
        <v>0</v>
      </c>
      <c r="N363" s="110"/>
      <c r="O363" s="204">
        <v>-14.9</v>
      </c>
      <c r="P363" s="110"/>
      <c r="Q363" s="110">
        <v>0</v>
      </c>
      <c r="R363" s="110"/>
      <c r="S363" s="204">
        <v>-24.8</v>
      </c>
      <c r="T363" s="110"/>
      <c r="U363" s="110">
        <v>0</v>
      </c>
      <c r="V363" s="110"/>
      <c r="W363" s="204">
        <v>-50.1</v>
      </c>
      <c r="Y363" s="2">
        <v>-31</v>
      </c>
      <c r="AA363" s="188"/>
      <c r="AB363" s="188"/>
      <c r="AC363" s="188"/>
      <c r="AD363" s="188"/>
      <c r="AE363" s="188"/>
      <c r="AF363" s="188"/>
    </row>
    <row r="364" ht="18.5" spans="3:32">
      <c r="C364" s="411" t="s">
        <v>130</v>
      </c>
      <c r="D364" s="411"/>
      <c r="E364" s="415">
        <f t="shared" ref="E364:K364" si="516">E365-E360-E361-E362-E363</f>
        <v>4.928</v>
      </c>
      <c r="F364" s="415">
        <f t="shared" si="516"/>
        <v>-31.0747</v>
      </c>
      <c r="G364" s="415">
        <f t="shared" si="516"/>
        <v>-15.6</v>
      </c>
      <c r="H364" s="415">
        <f t="shared" si="516"/>
        <v>-6</v>
      </c>
      <c r="I364" s="415">
        <f t="shared" si="516"/>
        <v>9.99999999999999</v>
      </c>
      <c r="J364" s="415">
        <f t="shared" si="516"/>
        <v>-1.29999999999994</v>
      </c>
      <c r="K364" s="415">
        <f t="shared" si="516"/>
        <v>-9.5</v>
      </c>
      <c r="L364" s="110"/>
      <c r="M364" s="426">
        <f>M365-M360-M361-M362-M363</f>
        <v>333.9</v>
      </c>
      <c r="N364" s="426"/>
      <c r="O364" s="415">
        <f>O365-O360-O361-O362-O363</f>
        <v>490.6</v>
      </c>
      <c r="P364" s="110"/>
      <c r="Q364" s="426">
        <f>Q365-Q360-Q361-Q362-Q363</f>
        <v>-191.2</v>
      </c>
      <c r="R364" s="426"/>
      <c r="S364" s="415">
        <f>S365-S360-S361-S362-S363</f>
        <v>-61.2</v>
      </c>
      <c r="T364" s="110"/>
      <c r="U364" s="426">
        <f>U365-U360-U361-U362-U363</f>
        <v>-18.1</v>
      </c>
      <c r="V364" s="426"/>
      <c r="W364" s="415">
        <f>W365-W360-W361-W362-W363</f>
        <v>-559</v>
      </c>
      <c r="Y364" s="426">
        <f>Y365-Y360-Y361-Y362-Y363</f>
        <v>-24.4999999999999</v>
      </c>
      <c r="AA364" s="188"/>
      <c r="AB364" s="188"/>
      <c r="AC364" s="188"/>
      <c r="AD364" s="188"/>
      <c r="AE364" s="188"/>
      <c r="AF364" s="188"/>
    </row>
    <row r="365" s="151" customFormat="1" ht="18.5" spans="3:32">
      <c r="C365" s="413" t="s">
        <v>287</v>
      </c>
      <c r="D365" s="413"/>
      <c r="E365" s="201">
        <v>-8.623</v>
      </c>
      <c r="F365" s="201">
        <v>-45.0857</v>
      </c>
      <c r="G365" s="201">
        <v>-33.3</v>
      </c>
      <c r="H365" s="201">
        <v>-32.6</v>
      </c>
      <c r="I365" s="201">
        <v>76.2</v>
      </c>
      <c r="J365" s="201">
        <v>-371.4</v>
      </c>
      <c r="K365" s="201">
        <v>-243.1</v>
      </c>
      <c r="L365" s="109"/>
      <c r="M365" s="109">
        <v>300.2</v>
      </c>
      <c r="N365" s="109"/>
      <c r="O365" s="201">
        <v>-84</v>
      </c>
      <c r="P365" s="109"/>
      <c r="Q365" s="109">
        <v>-203.2</v>
      </c>
      <c r="R365" s="109"/>
      <c r="S365" s="201">
        <v>-508.4</v>
      </c>
      <c r="T365" s="109"/>
      <c r="U365" s="109">
        <v>-212.7</v>
      </c>
      <c r="V365" s="109"/>
      <c r="W365" s="201">
        <v>-1014.9</v>
      </c>
      <c r="Y365" s="8">
        <v>514.7</v>
      </c>
      <c r="AA365" s="405"/>
      <c r="AB365" s="405"/>
      <c r="AC365" s="405"/>
      <c r="AD365" s="405"/>
      <c r="AE365" s="405"/>
      <c r="AF365" s="405"/>
    </row>
    <row r="366" ht="18.5" spans="5:32">
      <c r="E366" s="188"/>
      <c r="F366" s="188"/>
      <c r="G366" s="188"/>
      <c r="H366" s="188"/>
      <c r="I366" s="188"/>
      <c r="J366" s="188"/>
      <c r="K366" s="188"/>
      <c r="M366" s="2"/>
      <c r="N366" s="2"/>
      <c r="O366" s="188"/>
      <c r="Q366" s="2"/>
      <c r="R366" s="2"/>
      <c r="S366" s="188"/>
      <c r="U366" s="2"/>
      <c r="V366" s="2"/>
      <c r="W366" s="188"/>
      <c r="Y366" s="2"/>
      <c r="AA366" s="188"/>
      <c r="AB366" s="188"/>
      <c r="AC366" s="188"/>
      <c r="AD366" s="188"/>
      <c r="AE366" s="188"/>
      <c r="AF366" s="188"/>
    </row>
    <row r="367" ht="18.5" spans="3:32">
      <c r="C367" s="411" t="s">
        <v>288</v>
      </c>
      <c r="D367" s="411"/>
      <c r="E367" s="415">
        <f>E349+E358+E365</f>
        <v>47.566</v>
      </c>
      <c r="F367" s="415">
        <f t="shared" ref="F367:K367" si="517">F349+F358+F365</f>
        <v>98.9383</v>
      </c>
      <c r="G367" s="415">
        <f t="shared" si="517"/>
        <v>22.4</v>
      </c>
      <c r="H367" s="415">
        <f t="shared" si="517"/>
        <v>102.2</v>
      </c>
      <c r="I367" s="415">
        <f t="shared" si="517"/>
        <v>-96.6000000000001</v>
      </c>
      <c r="J367" s="415">
        <f t="shared" si="517"/>
        <v>220.9</v>
      </c>
      <c r="K367" s="415">
        <f t="shared" si="517"/>
        <v>487.9</v>
      </c>
      <c r="L367" s="110"/>
      <c r="M367" s="426">
        <f>M365+M358+M349</f>
        <v>307.9</v>
      </c>
      <c r="N367" s="426"/>
      <c r="O367" s="415">
        <f>O365+O358+O349</f>
        <v>335</v>
      </c>
      <c r="P367" s="110"/>
      <c r="Q367" s="426">
        <f>Q365+Q358+Q349</f>
        <v>-188.9</v>
      </c>
      <c r="R367" s="426"/>
      <c r="S367" s="415">
        <f>S365+S358+S349</f>
        <v>281.4</v>
      </c>
      <c r="T367" s="110"/>
      <c r="U367" s="426">
        <f>U365+U358+U349</f>
        <v>-166.7</v>
      </c>
      <c r="V367" s="426"/>
      <c r="W367" s="415">
        <f>W365+W358+W349</f>
        <v>-417.6</v>
      </c>
      <c r="Y367" s="426">
        <f>Y365+Y358+Y349</f>
        <v>-211.4</v>
      </c>
      <c r="AA367" s="188"/>
      <c r="AB367" s="188"/>
      <c r="AC367" s="188"/>
      <c r="AD367" s="188"/>
      <c r="AE367" s="188"/>
      <c r="AF367" s="188"/>
    </row>
    <row r="368" ht="18.5" spans="3:32">
      <c r="C368" s="411"/>
      <c r="D368" s="411"/>
      <c r="E368" s="415"/>
      <c r="F368" s="204"/>
      <c r="G368" s="204"/>
      <c r="H368" s="204"/>
      <c r="I368" s="204"/>
      <c r="J368" s="204"/>
      <c r="K368" s="204"/>
      <c r="L368" s="110"/>
      <c r="M368" s="110"/>
      <c r="N368" s="110"/>
      <c r="O368" s="204"/>
      <c r="P368" s="110"/>
      <c r="Q368" s="110"/>
      <c r="R368" s="110"/>
      <c r="S368" s="204"/>
      <c r="T368" s="110"/>
      <c r="U368" s="110"/>
      <c r="V368" s="110"/>
      <c r="W368" s="204"/>
      <c r="Y368" s="2"/>
      <c r="AA368" s="188"/>
      <c r="AB368" s="188"/>
      <c r="AC368" s="188"/>
      <c r="AD368" s="188"/>
      <c r="AE368" s="188"/>
      <c r="AF368" s="188"/>
    </row>
    <row r="369" ht="18.5" spans="3:32">
      <c r="C369" s="2" t="s">
        <v>289</v>
      </c>
      <c r="D369" s="2"/>
      <c r="E369" s="204">
        <v>-3.674</v>
      </c>
      <c r="F369" s="374">
        <v>-4.79</v>
      </c>
      <c r="G369" s="374">
        <v>1.8</v>
      </c>
      <c r="H369" s="374">
        <v>-1.8</v>
      </c>
      <c r="I369" s="374">
        <v>0.1</v>
      </c>
      <c r="J369" s="374">
        <v>1.7</v>
      </c>
      <c r="K369" s="374">
        <v>0.2</v>
      </c>
      <c r="L369" s="427"/>
      <c r="M369" s="428">
        <v>2.4</v>
      </c>
      <c r="N369" s="428"/>
      <c r="O369" s="374">
        <v>-3.5</v>
      </c>
      <c r="P369" s="428"/>
      <c r="Q369" s="428">
        <v>4.6</v>
      </c>
      <c r="R369" s="428"/>
      <c r="S369" s="374">
        <v>-12.9</v>
      </c>
      <c r="T369" s="110"/>
      <c r="U369" s="110">
        <v>-38.3</v>
      </c>
      <c r="V369" s="110"/>
      <c r="W369" s="204">
        <v>-29.7</v>
      </c>
      <c r="Y369" s="2">
        <v>-10.6</v>
      </c>
      <c r="AA369" s="188"/>
      <c r="AB369" s="188"/>
      <c r="AC369" s="188"/>
      <c r="AD369" s="188"/>
      <c r="AE369" s="188"/>
      <c r="AF369" s="188"/>
    </row>
    <row r="370" ht="18.5" spans="3:32">
      <c r="C370" s="411"/>
      <c r="D370" s="411"/>
      <c r="E370" s="415"/>
      <c r="F370" s="204"/>
      <c r="G370" s="204"/>
      <c r="H370" s="204"/>
      <c r="I370" s="204"/>
      <c r="J370" s="204"/>
      <c r="K370" s="204"/>
      <c r="L370" s="110"/>
      <c r="M370" s="110"/>
      <c r="N370" s="110"/>
      <c r="O370" s="204"/>
      <c r="P370" s="110"/>
      <c r="Q370" s="110"/>
      <c r="R370" s="110"/>
      <c r="S370" s="204"/>
      <c r="T370" s="110"/>
      <c r="U370" s="110"/>
      <c r="V370" s="110"/>
      <c r="W370" s="204"/>
      <c r="Y370" s="2"/>
      <c r="AA370" s="188"/>
      <c r="AB370" s="188"/>
      <c r="AC370" s="188"/>
      <c r="AD370" s="188"/>
      <c r="AE370" s="188"/>
      <c r="AF370" s="188"/>
    </row>
    <row r="371" ht="18.5" spans="3:32">
      <c r="C371" s="411" t="s">
        <v>290</v>
      </c>
      <c r="D371" s="411"/>
      <c r="E371" s="415">
        <v>72.043</v>
      </c>
      <c r="F371" s="204">
        <f>E372</f>
        <v>115.935</v>
      </c>
      <c r="G371" s="204">
        <f t="shared" ref="G371:K371" si="518">F372</f>
        <v>210.0833</v>
      </c>
      <c r="H371" s="204">
        <f t="shared" si="518"/>
        <v>234.2833</v>
      </c>
      <c r="I371" s="204">
        <f t="shared" si="518"/>
        <v>334.6833</v>
      </c>
      <c r="J371" s="204">
        <f t="shared" si="518"/>
        <v>238.1833</v>
      </c>
      <c r="K371" s="204">
        <f t="shared" si="518"/>
        <v>460.7833</v>
      </c>
      <c r="L371" s="110"/>
      <c r="M371" s="110">
        <f>K372</f>
        <v>948.8833</v>
      </c>
      <c r="N371" s="110"/>
      <c r="O371" s="204">
        <f>K372</f>
        <v>948.8833</v>
      </c>
      <c r="P371" s="110"/>
      <c r="Q371" s="110">
        <f>O372</f>
        <v>1280.3833</v>
      </c>
      <c r="R371" s="110"/>
      <c r="S371" s="204">
        <f>O372</f>
        <v>1280.3833</v>
      </c>
      <c r="T371" s="110"/>
      <c r="U371" s="110">
        <f>S372</f>
        <v>1548.8833</v>
      </c>
      <c r="V371" s="110"/>
      <c r="W371" s="204">
        <f>S372</f>
        <v>1548.8833</v>
      </c>
      <c r="Y371" s="110">
        <f>W372</f>
        <v>1101.5833</v>
      </c>
      <c r="AA371" s="188"/>
      <c r="AB371" s="188"/>
      <c r="AC371" s="188"/>
      <c r="AD371" s="188"/>
      <c r="AE371" s="188"/>
      <c r="AF371" s="188"/>
    </row>
    <row r="372" ht="18.5" spans="3:32">
      <c r="C372" s="411" t="s">
        <v>291</v>
      </c>
      <c r="D372" s="411"/>
      <c r="E372" s="415">
        <f>E367+E369+E371</f>
        <v>115.935</v>
      </c>
      <c r="F372" s="415">
        <f>F367+F369+F371</f>
        <v>210.0833</v>
      </c>
      <c r="G372" s="415">
        <f t="shared" ref="G372:K372" si="519">G367+G369+G371</f>
        <v>234.2833</v>
      </c>
      <c r="H372" s="415">
        <f t="shared" si="519"/>
        <v>334.6833</v>
      </c>
      <c r="I372" s="415">
        <f t="shared" si="519"/>
        <v>238.1833</v>
      </c>
      <c r="J372" s="415">
        <f t="shared" si="519"/>
        <v>460.7833</v>
      </c>
      <c r="K372" s="415">
        <f t="shared" si="519"/>
        <v>948.8833</v>
      </c>
      <c r="L372" s="109"/>
      <c r="M372" s="426">
        <f t="shared" ref="M372" si="520">M367+M369+M371</f>
        <v>1259.1833</v>
      </c>
      <c r="N372" s="426"/>
      <c r="O372" s="415">
        <f t="shared" ref="O372" si="521">O367+O369+O371</f>
        <v>1280.3833</v>
      </c>
      <c r="P372" s="109"/>
      <c r="Q372" s="426">
        <f t="shared" ref="Q372" si="522">Q367+Q369+Q371</f>
        <v>1096.0833</v>
      </c>
      <c r="R372" s="426"/>
      <c r="S372" s="415">
        <f t="shared" ref="S372" si="523">S367+S369+S371</f>
        <v>1548.8833</v>
      </c>
      <c r="T372" s="109"/>
      <c r="U372" s="426">
        <f t="shared" ref="U372" si="524">U367+U369+U371</f>
        <v>1343.8833</v>
      </c>
      <c r="V372" s="426"/>
      <c r="W372" s="415">
        <f t="shared" ref="W372:Y372" si="525">W367+W369+W371</f>
        <v>1101.5833</v>
      </c>
      <c r="Y372" s="426">
        <f t="shared" si="525"/>
        <v>879.5833</v>
      </c>
      <c r="AA372" s="188"/>
      <c r="AB372" s="188"/>
      <c r="AC372" s="188"/>
      <c r="AD372" s="188"/>
      <c r="AE372" s="188"/>
      <c r="AF372" s="188"/>
    </row>
    <row r="373" ht="18.5" spans="3:32">
      <c r="C373" s="418"/>
      <c r="D373" s="418"/>
      <c r="E373" s="419"/>
      <c r="F373" s="193"/>
      <c r="G373" s="193"/>
      <c r="H373" s="193"/>
      <c r="I373" s="204"/>
      <c r="J373" s="204"/>
      <c r="K373" s="204"/>
      <c r="L373" s="110"/>
      <c r="M373" s="110"/>
      <c r="N373" s="110"/>
      <c r="O373" s="204"/>
      <c r="P373" s="110"/>
      <c r="Q373" s="110"/>
      <c r="R373" s="110"/>
      <c r="S373" s="204"/>
      <c r="T373" s="110"/>
      <c r="U373" s="110"/>
      <c r="V373" s="110"/>
      <c r="W373" s="188"/>
      <c r="AA373" s="188"/>
      <c r="AB373" s="188"/>
      <c r="AC373" s="188"/>
      <c r="AD373" s="188"/>
      <c r="AE373" s="188"/>
      <c r="AF373" s="188"/>
    </row>
    <row r="374" ht="26" spans="3:43">
      <c r="C374" s="107" t="s">
        <v>292</v>
      </c>
      <c r="D374" s="107"/>
      <c r="E374" s="107"/>
      <c r="F374" s="107"/>
      <c r="G374" s="107"/>
      <c r="H374" s="107"/>
      <c r="I374" s="429"/>
      <c r="J374" s="430"/>
      <c r="K374" s="430"/>
      <c r="L374" s="430"/>
      <c r="M374" s="430"/>
      <c r="N374" s="430"/>
      <c r="O374" s="430"/>
      <c r="P374" s="430"/>
      <c r="Q374" s="430"/>
      <c r="R374" s="430"/>
      <c r="S374" s="430"/>
      <c r="T374" s="430"/>
      <c r="U374" s="430"/>
      <c r="V374" s="430"/>
      <c r="W374" s="430"/>
      <c r="X374" s="432"/>
      <c r="Y374" s="432"/>
      <c r="Z374" s="432"/>
      <c r="AA374" s="432"/>
      <c r="AB374" s="432"/>
      <c r="AC374" s="432"/>
      <c r="AD374" s="432"/>
      <c r="AE374" s="432"/>
      <c r="AF374" s="432"/>
      <c r="AP374"/>
      <c r="AQ374"/>
    </row>
    <row r="375" ht="18.5" spans="3:32">
      <c r="C375" s="52"/>
      <c r="D375" s="52"/>
      <c r="E375" s="420"/>
      <c r="F375" s="420"/>
      <c r="G375" s="420"/>
      <c r="H375" s="420"/>
      <c r="I375" s="201"/>
      <c r="J375" s="201"/>
      <c r="K375" s="201"/>
      <c r="L375" s="109"/>
      <c r="M375" s="109"/>
      <c r="N375" s="109"/>
      <c r="O375" s="201"/>
      <c r="P375" s="109"/>
      <c r="Q375" s="109"/>
      <c r="R375" s="109"/>
      <c r="S375" s="201"/>
      <c r="T375" s="109"/>
      <c r="U375" s="109"/>
      <c r="V375" s="109"/>
      <c r="W375" s="201"/>
      <c r="AA375" s="193"/>
      <c r="AB375" s="193"/>
      <c r="AC375" s="193"/>
      <c r="AD375" s="193"/>
      <c r="AE375" s="193"/>
      <c r="AF375" s="193"/>
    </row>
    <row r="376" s="151" customFormat="1" ht="18.5" spans="3:32">
      <c r="C376" s="421" t="s">
        <v>293</v>
      </c>
      <c r="D376" s="421"/>
      <c r="E376" s="201">
        <f t="shared" ref="E376:K376" si="526">E349</f>
        <v>116</v>
      </c>
      <c r="F376" s="201">
        <f t="shared" si="526"/>
        <v>226</v>
      </c>
      <c r="G376" s="201">
        <f t="shared" si="526"/>
        <v>279</v>
      </c>
      <c r="H376" s="201">
        <f t="shared" si="526"/>
        <v>339</v>
      </c>
      <c r="I376" s="201">
        <f t="shared" si="526"/>
        <v>378</v>
      </c>
      <c r="J376" s="201">
        <f t="shared" si="526"/>
        <v>854</v>
      </c>
      <c r="K376" s="201">
        <f t="shared" si="526"/>
        <v>1061</v>
      </c>
      <c r="L376" s="109"/>
      <c r="M376" s="109">
        <f t="shared" ref="M376" si="527">M349</f>
        <v>461.9</v>
      </c>
      <c r="N376" s="109">
        <f>O376-M376</f>
        <v>805.1</v>
      </c>
      <c r="O376" s="201">
        <f t="shared" ref="O376" si="528">O349</f>
        <v>1267</v>
      </c>
      <c r="P376" s="109"/>
      <c r="Q376" s="109">
        <f t="shared" ref="Q376" si="529">Q349</f>
        <v>169.8</v>
      </c>
      <c r="R376" s="109">
        <f>S376-Q376</f>
        <v>911.7</v>
      </c>
      <c r="S376" s="201">
        <f t="shared" ref="S376" si="530">S349</f>
        <v>1081.5</v>
      </c>
      <c r="T376" s="109"/>
      <c r="U376" s="109">
        <f t="shared" ref="U376" si="531">U349</f>
        <v>296.7</v>
      </c>
      <c r="V376" s="109">
        <f>W376-U376</f>
        <v>844.1</v>
      </c>
      <c r="W376" s="201">
        <f t="shared" ref="W376" si="532">W349</f>
        <v>1140.8</v>
      </c>
      <c r="Y376" s="109">
        <f t="shared" ref="Y376" si="533">Y349</f>
        <v>319.1</v>
      </c>
      <c r="Z376" s="109">
        <f>AA376-Y376</f>
        <v>1060.9</v>
      </c>
      <c r="AA376" s="201">
        <f>+AA379+AA381</f>
        <v>1380</v>
      </c>
      <c r="AB376" s="201">
        <f t="shared" ref="AB376:AF376" si="534">+AB379+AB381</f>
        <v>1243.1269632</v>
      </c>
      <c r="AC376" s="201">
        <f t="shared" si="534"/>
        <v>1335.647952928</v>
      </c>
      <c r="AD376" s="201">
        <f t="shared" si="534"/>
        <v>1392.52379384015</v>
      </c>
      <c r="AE376" s="201">
        <f t="shared" si="534"/>
        <v>1439.86129649154</v>
      </c>
      <c r="AF376" s="201">
        <f t="shared" si="534"/>
        <v>1474.72906892838</v>
      </c>
    </row>
    <row r="377" ht="18.5" spans="3:32">
      <c r="C377" s="298" t="s">
        <v>40</v>
      </c>
      <c r="D377" s="298"/>
      <c r="E377" s="202">
        <f t="shared" ref="E377:K377" si="535">E376/E172</f>
        <v>0.0762028388185144</v>
      </c>
      <c r="F377" s="202">
        <f t="shared" si="535"/>
        <v>0.12406321295176</v>
      </c>
      <c r="G377" s="202">
        <f t="shared" si="535"/>
        <v>0.117290957245554</v>
      </c>
      <c r="H377" s="202">
        <f t="shared" si="535"/>
        <v>0.107230973619283</v>
      </c>
      <c r="I377" s="202">
        <f t="shared" si="535"/>
        <v>0.0801220908050362</v>
      </c>
      <c r="J377" s="202">
        <f t="shared" si="535"/>
        <v>0.139752569221706</v>
      </c>
      <c r="K377" s="202">
        <f t="shared" si="535"/>
        <v>0.172036385452305</v>
      </c>
      <c r="L377" s="16"/>
      <c r="M377" s="16">
        <f>M376/M172</f>
        <v>0.118868701425704</v>
      </c>
      <c r="N377" s="16">
        <f>N376/N172</f>
        <v>0.172132900025656</v>
      </c>
      <c r="O377" s="202">
        <f>O376/O172</f>
        <v>0.147962162793414</v>
      </c>
      <c r="P377" s="16"/>
      <c r="Q377" s="16">
        <f>Q376/Q172</f>
        <v>0.0384336803983703</v>
      </c>
      <c r="R377" s="16">
        <f>R376/R172</f>
        <v>0.159751182758016</v>
      </c>
      <c r="S377" s="202">
        <f>S376/S172</f>
        <v>0.106814814814815</v>
      </c>
      <c r="T377" s="110"/>
      <c r="U377" s="16">
        <f>U376/U172</f>
        <v>0.0620205271849328</v>
      </c>
      <c r="V377" s="16">
        <f>V376/V172</f>
        <v>0.146593494381827</v>
      </c>
      <c r="W377" s="202">
        <f>W376/W172</f>
        <v>0.108214760007589</v>
      </c>
      <c r="Y377" s="16">
        <f>Y376/Y172</f>
        <v>0.063411629108541</v>
      </c>
      <c r="Z377" s="16">
        <f>Z376/Z172</f>
        <v>0.156018296138673</v>
      </c>
      <c r="AA377" s="202">
        <f>AA376/AA172</f>
        <v>0.116632431047718</v>
      </c>
      <c r="AB377" s="202">
        <f t="shared" ref="AB377:AF377" si="536">AB376/AB172</f>
        <v>0.0977086012470424</v>
      </c>
      <c r="AC377" s="202">
        <f t="shared" si="536"/>
        <v>0.0997438969326208</v>
      </c>
      <c r="AD377" s="202">
        <f t="shared" si="536"/>
        <v>0.0994721447097724</v>
      </c>
      <c r="AE377" s="202">
        <f t="shared" si="536"/>
        <v>0.0990987769361196</v>
      </c>
      <c r="AF377" s="202">
        <f t="shared" si="536"/>
        <v>0.0985459208958839</v>
      </c>
    </row>
    <row r="378" ht="18.5" spans="3:32">
      <c r="C378" s="298"/>
      <c r="D378" s="298"/>
      <c r="E378" s="279">
        <f>E260-E282</f>
        <v>73.511</v>
      </c>
      <c r="F378" s="279"/>
      <c r="G378" s="193"/>
      <c r="H378" s="193"/>
      <c r="I378" s="193"/>
      <c r="J378" s="193"/>
      <c r="K378" s="193"/>
      <c r="L378" s="2"/>
      <c r="M378" s="2"/>
      <c r="N378" s="2"/>
      <c r="O378" s="193"/>
      <c r="P378" s="2"/>
      <c r="Q378" s="2"/>
      <c r="R378" s="2"/>
      <c r="S378" s="193"/>
      <c r="T378" s="110"/>
      <c r="U378" s="2"/>
      <c r="V378" s="2"/>
      <c r="W378" s="193"/>
      <c r="Y378" s="2"/>
      <c r="AA378" s="193"/>
      <c r="AB378" s="193"/>
      <c r="AC378" s="193"/>
      <c r="AD378" s="193"/>
      <c r="AE378" s="193"/>
      <c r="AF378" s="193"/>
    </row>
    <row r="379" ht="18.5" spans="3:33">
      <c r="C379" s="410" t="s">
        <v>294</v>
      </c>
      <c r="D379" s="410"/>
      <c r="E379" s="379">
        <f>SUM(E342:E347)</f>
        <v>-24.531</v>
      </c>
      <c r="F379" s="379">
        <f t="shared" ref="F379:K379" si="537">SUM(F342:F347)</f>
        <v>10.337</v>
      </c>
      <c r="G379" s="379">
        <f t="shared" si="537"/>
        <v>-24.2</v>
      </c>
      <c r="H379" s="379">
        <f t="shared" si="537"/>
        <v>-50.2</v>
      </c>
      <c r="I379" s="379">
        <f t="shared" si="537"/>
        <v>-115.3</v>
      </c>
      <c r="J379" s="379">
        <f t="shared" si="537"/>
        <v>-142</v>
      </c>
      <c r="K379" s="379">
        <f t="shared" si="537"/>
        <v>66.3</v>
      </c>
      <c r="L379" s="110"/>
      <c r="M379" s="392">
        <f t="shared" ref="M379" si="538">SUM(M342:M347)</f>
        <v>-281.5</v>
      </c>
      <c r="N379" s="392">
        <f>O379-M379</f>
        <v>-56.6</v>
      </c>
      <c r="O379" s="379">
        <f t="shared" ref="O379" si="539">SUM(O342:O347)</f>
        <v>-338.1</v>
      </c>
      <c r="P379" s="110"/>
      <c r="Q379" s="392">
        <f t="shared" ref="Q379" si="540">SUM(Q342:Q347)</f>
        <v>-568.5</v>
      </c>
      <c r="R379" s="392">
        <f>S379-Q379</f>
        <v>-81.8</v>
      </c>
      <c r="S379" s="379">
        <f t="shared" ref="S379" si="541">SUM(S342:S347)</f>
        <v>-650.3</v>
      </c>
      <c r="T379" s="110"/>
      <c r="U379" s="392">
        <v>-508</v>
      </c>
      <c r="V379" s="392">
        <f>W379-U379</f>
        <v>0.399999999999977</v>
      </c>
      <c r="W379" s="379">
        <f t="shared" ref="W379" si="542">SUM(W342:W347)</f>
        <v>-507.6</v>
      </c>
      <c r="Y379" s="392">
        <v>-600</v>
      </c>
      <c r="Z379" s="2">
        <v>0</v>
      </c>
      <c r="AA379" s="193">
        <v>-600</v>
      </c>
      <c r="AB379" s="193">
        <v>-650</v>
      </c>
      <c r="AC379" s="193">
        <v>-700</v>
      </c>
      <c r="AD379" s="193">
        <v>-750</v>
      </c>
      <c r="AE379" s="193">
        <v>-800</v>
      </c>
      <c r="AF379" s="193">
        <v>-850</v>
      </c>
      <c r="AG379" s="186"/>
    </row>
    <row r="380" ht="18.5" spans="3:32">
      <c r="C380" s="298"/>
      <c r="D380" s="298"/>
      <c r="E380" s="422"/>
      <c r="F380" s="204"/>
      <c r="G380" s="204"/>
      <c r="H380" s="204"/>
      <c r="I380" s="204"/>
      <c r="J380" s="204"/>
      <c r="K380" s="204"/>
      <c r="L380" s="2"/>
      <c r="M380" s="110"/>
      <c r="N380" s="110"/>
      <c r="O380" s="204"/>
      <c r="P380" s="2"/>
      <c r="Q380" s="110"/>
      <c r="R380" s="110"/>
      <c r="S380" s="204"/>
      <c r="T380" s="110"/>
      <c r="U380" s="110"/>
      <c r="V380" s="110"/>
      <c r="W380" s="204"/>
      <c r="Y380" s="110"/>
      <c r="AA380" s="193"/>
      <c r="AB380" s="193"/>
      <c r="AC380" s="193"/>
      <c r="AD380" s="193"/>
      <c r="AE380" s="193"/>
      <c r="AF380" s="193"/>
    </row>
    <row r="381" s="151" customFormat="1" ht="18.5" spans="3:32">
      <c r="C381" s="409" t="s">
        <v>295</v>
      </c>
      <c r="D381" s="409"/>
      <c r="E381" s="423">
        <f>E376-E379</f>
        <v>140.531</v>
      </c>
      <c r="F381" s="423">
        <f t="shared" ref="F381:K381" si="543">F376-F379</f>
        <v>215.663</v>
      </c>
      <c r="G381" s="423">
        <f t="shared" si="543"/>
        <v>303.2</v>
      </c>
      <c r="H381" s="423">
        <f t="shared" si="543"/>
        <v>389.2</v>
      </c>
      <c r="I381" s="423">
        <f t="shared" si="543"/>
        <v>493.3</v>
      </c>
      <c r="J381" s="423">
        <f t="shared" si="543"/>
        <v>996</v>
      </c>
      <c r="K381" s="423">
        <f t="shared" si="543"/>
        <v>994.7</v>
      </c>
      <c r="L381" s="109"/>
      <c r="M381" s="431">
        <f t="shared" ref="M381" si="544">M376-M379</f>
        <v>743.4</v>
      </c>
      <c r="N381" s="431">
        <f>O381-M381</f>
        <v>861.7</v>
      </c>
      <c r="O381" s="423">
        <f t="shared" ref="O381" si="545">O376-O379</f>
        <v>1605.1</v>
      </c>
      <c r="P381" s="109"/>
      <c r="Q381" s="431">
        <f t="shared" ref="Q381" si="546">Q376-Q379</f>
        <v>738.3</v>
      </c>
      <c r="R381" s="431">
        <f>S381-Q381</f>
        <v>993.5</v>
      </c>
      <c r="S381" s="423">
        <f t="shared" ref="S381" si="547">S376-S379</f>
        <v>1731.8</v>
      </c>
      <c r="T381" s="109"/>
      <c r="U381" s="431">
        <f t="shared" ref="U381" si="548">U376-U379</f>
        <v>804.7</v>
      </c>
      <c r="V381" s="431">
        <f>W381-U381</f>
        <v>843.7</v>
      </c>
      <c r="W381" s="423">
        <f t="shared" ref="W381" si="549">W376-W379</f>
        <v>1648.4</v>
      </c>
      <c r="Y381" s="431">
        <f t="shared" ref="Y381" si="550">Y376-Y379</f>
        <v>919.1</v>
      </c>
      <c r="Z381" s="431">
        <f>AA381-Y381</f>
        <v>1060.9</v>
      </c>
      <c r="AA381" s="206">
        <v>1980</v>
      </c>
      <c r="AB381" s="201">
        <f>AA172*AB382</f>
        <v>1893.1269632</v>
      </c>
      <c r="AC381" s="201">
        <f t="shared" ref="AC381:AF381" si="551">AB172*AC382</f>
        <v>2035.647952928</v>
      </c>
      <c r="AD381" s="201">
        <f t="shared" si="551"/>
        <v>2142.52379384015</v>
      </c>
      <c r="AE381" s="201">
        <f t="shared" si="551"/>
        <v>2239.86129649154</v>
      </c>
      <c r="AF381" s="201">
        <f t="shared" si="551"/>
        <v>2324.72906892838</v>
      </c>
    </row>
    <row r="382" ht="18.5" spans="3:32">
      <c r="C382" s="298" t="s">
        <v>40</v>
      </c>
      <c r="D382" s="298"/>
      <c r="E382" s="202">
        <f t="shared" ref="E382:K382" si="552">E381/E172</f>
        <v>0.0923177684655573</v>
      </c>
      <c r="F382" s="202">
        <f t="shared" si="552"/>
        <v>0.118388693339891</v>
      </c>
      <c r="G382" s="202">
        <f t="shared" si="552"/>
        <v>0.127464581494093</v>
      </c>
      <c r="H382" s="202">
        <f t="shared" si="552"/>
        <v>0.123110014550516</v>
      </c>
      <c r="I382" s="202">
        <f t="shared" si="552"/>
        <v>0.104561448132604</v>
      </c>
      <c r="J382" s="202">
        <f t="shared" si="552"/>
        <v>0.162990115860444</v>
      </c>
      <c r="K382" s="202">
        <f t="shared" si="552"/>
        <v>0.161286138180403</v>
      </c>
      <c r="L382" s="16"/>
      <c r="M382" s="16">
        <f>M381/M172</f>
        <v>0.191311956353904</v>
      </c>
      <c r="N382" s="16">
        <f>N381/N172</f>
        <v>0.184234157188061</v>
      </c>
      <c r="O382" s="202">
        <f>O381/O172</f>
        <v>0.187445988555413</v>
      </c>
      <c r="P382" s="16"/>
      <c r="Q382" s="16">
        <f>Q381/Q172</f>
        <v>0.167111815301041</v>
      </c>
      <c r="R382" s="16">
        <f>R381/R172</f>
        <v>0.174084457683547</v>
      </c>
      <c r="S382" s="202">
        <f>S381/S172</f>
        <v>0.171041975308642</v>
      </c>
      <c r="T382" s="110"/>
      <c r="U382" s="16">
        <f>U381/U172</f>
        <v>0.168210037835239</v>
      </c>
      <c r="V382" s="16">
        <f>V381/V172</f>
        <v>0.146524027022803</v>
      </c>
      <c r="W382" s="202">
        <f>W381/W172</f>
        <v>0.156365016125972</v>
      </c>
      <c r="Y382" s="16">
        <f>Y381/Y172</f>
        <v>0.182643774094829</v>
      </c>
      <c r="Z382" s="16">
        <f>Z381/Z172</f>
        <v>0.156018296138673</v>
      </c>
      <c r="AA382" s="202">
        <f>AA381/AA172</f>
        <v>0.167342183677161</v>
      </c>
      <c r="AB382" s="202">
        <v>0.16</v>
      </c>
      <c r="AC382" s="202">
        <v>0.16</v>
      </c>
      <c r="AD382" s="202">
        <v>0.16</v>
      </c>
      <c r="AE382" s="202">
        <v>0.16</v>
      </c>
      <c r="AF382" s="202">
        <v>0.16</v>
      </c>
    </row>
    <row r="383" ht="18.5" spans="3:32">
      <c r="C383" s="298"/>
      <c r="D383" s="298"/>
      <c r="E383" s="424"/>
      <c r="F383" s="193"/>
      <c r="G383" s="193"/>
      <c r="H383" s="193"/>
      <c r="I383" s="193"/>
      <c r="J383" s="193"/>
      <c r="K383" s="193"/>
      <c r="L383" s="2"/>
      <c r="M383" s="2"/>
      <c r="N383" s="2"/>
      <c r="O383" s="193"/>
      <c r="P383" s="2"/>
      <c r="Q383" s="2"/>
      <c r="R383" s="2"/>
      <c r="S383" s="193"/>
      <c r="T383" s="110"/>
      <c r="U383" s="2"/>
      <c r="V383" s="2"/>
      <c r="W383" s="193"/>
      <c r="Y383" s="2"/>
      <c r="AA383" s="193"/>
      <c r="AB383" s="193"/>
      <c r="AC383" s="193"/>
      <c r="AD383" s="193"/>
      <c r="AE383" s="193"/>
      <c r="AF383" s="193"/>
    </row>
    <row r="384" s="151" customFormat="1" ht="18.5" spans="3:32">
      <c r="C384" s="421" t="s">
        <v>296</v>
      </c>
      <c r="D384" s="421"/>
      <c r="E384" s="381">
        <f>E353</f>
        <v>-63.077</v>
      </c>
      <c r="F384" s="381">
        <f t="shared" ref="F384:K384" si="553">F353</f>
        <v>-79.108</v>
      </c>
      <c r="G384" s="381">
        <f t="shared" si="553"/>
        <v>-222.8</v>
      </c>
      <c r="H384" s="381">
        <f t="shared" si="553"/>
        <v>-207</v>
      </c>
      <c r="I384" s="381">
        <f t="shared" si="553"/>
        <v>-540.7</v>
      </c>
      <c r="J384" s="381">
        <f t="shared" si="553"/>
        <v>-243.3</v>
      </c>
      <c r="K384" s="381">
        <f t="shared" si="553"/>
        <v>-112.9</v>
      </c>
      <c r="L384" s="109"/>
      <c r="M384" s="394">
        <f t="shared" ref="M384" si="554">M353</f>
        <v>-79</v>
      </c>
      <c r="N384" s="394">
        <f>O384-M384</f>
        <v>-159.2</v>
      </c>
      <c r="O384" s="381">
        <f t="shared" ref="O384" si="555">O353</f>
        <v>-238.2</v>
      </c>
      <c r="P384" s="109"/>
      <c r="Q384" s="394">
        <f t="shared" ref="Q384" si="556">Q353</f>
        <v>-221.8</v>
      </c>
      <c r="R384" s="394">
        <f>S384-Q384</f>
        <v>-137.5</v>
      </c>
      <c r="S384" s="381">
        <f t="shared" ref="S384" si="557">S353</f>
        <v>-359.3</v>
      </c>
      <c r="T384" s="109"/>
      <c r="U384" s="394">
        <f t="shared" ref="U384" si="558">U353</f>
        <v>-209.1</v>
      </c>
      <c r="V384" s="394">
        <f>W384-U384</f>
        <v>-330.6</v>
      </c>
      <c r="W384" s="381">
        <f t="shared" ref="W384" si="559">W353</f>
        <v>-539.7</v>
      </c>
      <c r="Y384" s="394">
        <f t="shared" ref="Y384" si="560">Y353</f>
        <v>-251.2</v>
      </c>
      <c r="Z384" s="394">
        <f>AA384-Y384</f>
        <v>-383.8</v>
      </c>
      <c r="AA384" s="206">
        <v>-635</v>
      </c>
      <c r="AB384" s="201">
        <f>-AB172*AB385</f>
        <v>-636.13998529</v>
      </c>
      <c r="AC384" s="201">
        <f t="shared" ref="AC384:AF384" si="561">-AC172*AC385</f>
        <v>-669.538685575048</v>
      </c>
      <c r="AD384" s="201">
        <f t="shared" si="561"/>
        <v>-699.956655153606</v>
      </c>
      <c r="AE384" s="201">
        <f t="shared" si="561"/>
        <v>-726.477834040118</v>
      </c>
      <c r="AF384" s="201">
        <f t="shared" si="561"/>
        <v>-748.244602882378</v>
      </c>
    </row>
    <row r="385" ht="18.5" spans="3:32">
      <c r="C385" s="298" t="s">
        <v>40</v>
      </c>
      <c r="D385" s="298"/>
      <c r="E385" s="270">
        <f t="shared" ref="E385:K385" si="562">-E384/E172</f>
        <v>0.0414366074496158</v>
      </c>
      <c r="F385" s="270">
        <f t="shared" si="562"/>
        <v>0.0434265161512737</v>
      </c>
      <c r="G385" s="270">
        <f t="shared" si="562"/>
        <v>0.0936646067179552</v>
      </c>
      <c r="H385" s="270">
        <f t="shared" si="562"/>
        <v>0.0654773201746062</v>
      </c>
      <c r="I385" s="270">
        <f t="shared" si="562"/>
        <v>0.114608503963712</v>
      </c>
      <c r="J385" s="270">
        <f t="shared" si="562"/>
        <v>0.0398147542056686</v>
      </c>
      <c r="K385" s="270">
        <f t="shared" si="562"/>
        <v>0.0183062280090153</v>
      </c>
      <c r="L385" s="16"/>
      <c r="M385" s="315">
        <f>-M384/M172</f>
        <v>0.0203304338874878</v>
      </c>
      <c r="N385" s="315"/>
      <c r="O385" s="270">
        <f>-O384/O172</f>
        <v>0.027817353731169</v>
      </c>
      <c r="P385" s="16"/>
      <c r="Q385" s="315">
        <f>-Q384/Q172</f>
        <v>0.0502037120869172</v>
      </c>
      <c r="R385" s="315">
        <f>-R384/R172</f>
        <v>0.0240932188540389</v>
      </c>
      <c r="S385" s="270">
        <f>-S384/S172</f>
        <v>0.0354864197530864</v>
      </c>
      <c r="T385" s="110"/>
      <c r="U385" s="315">
        <f>-U384/U172</f>
        <v>0.0437091076318485</v>
      </c>
      <c r="V385" s="315">
        <f>-V384/V172</f>
        <v>0.0574147722338966</v>
      </c>
      <c r="W385" s="270">
        <f>-W384/W172</f>
        <v>0.051195219123506</v>
      </c>
      <c r="Y385" s="315">
        <f>-Y384/Y172</f>
        <v>0.049918524700926</v>
      </c>
      <c r="Z385" s="315">
        <f>-Z384/Z172</f>
        <v>0.0564424753115495</v>
      </c>
      <c r="AA385" s="270">
        <f>-AA384/AA172</f>
        <v>0.0536678215328268</v>
      </c>
      <c r="AB385" s="270">
        <v>0.05</v>
      </c>
      <c r="AC385" s="270">
        <v>0.05</v>
      </c>
      <c r="AD385" s="270">
        <v>0.05</v>
      </c>
      <c r="AE385" s="270">
        <v>0.05</v>
      </c>
      <c r="AF385" s="270">
        <v>0.05</v>
      </c>
    </row>
    <row r="386" ht="18.5" spans="3:32">
      <c r="C386" s="292"/>
      <c r="D386" s="292"/>
      <c r="E386" s="433"/>
      <c r="F386" s="193"/>
      <c r="G386" s="193"/>
      <c r="H386" s="193"/>
      <c r="I386" s="193"/>
      <c r="J386" s="193"/>
      <c r="K386" s="193"/>
      <c r="L386" s="2"/>
      <c r="M386" s="2"/>
      <c r="N386" s="2"/>
      <c r="O386" s="193"/>
      <c r="P386" s="2"/>
      <c r="Q386" s="2"/>
      <c r="R386" s="2"/>
      <c r="S386" s="193"/>
      <c r="T386" s="110"/>
      <c r="U386" s="2"/>
      <c r="V386" s="2"/>
      <c r="W386" s="193"/>
      <c r="Y386" s="2"/>
      <c r="AA386" s="193"/>
      <c r="AB386" s="193"/>
      <c r="AC386" s="193"/>
      <c r="AD386" s="193"/>
      <c r="AE386" s="193"/>
      <c r="AF386" s="193"/>
    </row>
    <row r="387" s="151" customFormat="1" ht="18.5" spans="3:32">
      <c r="C387" s="434" t="s">
        <v>292</v>
      </c>
      <c r="D387" s="434"/>
      <c r="E387" s="143">
        <f t="shared" ref="E387:K387" si="563">E376+E384</f>
        <v>52.923</v>
      </c>
      <c r="F387" s="143">
        <f t="shared" si="563"/>
        <v>146.892</v>
      </c>
      <c r="G387" s="143">
        <f t="shared" si="563"/>
        <v>56.2</v>
      </c>
      <c r="H387" s="143">
        <f t="shared" si="563"/>
        <v>132</v>
      </c>
      <c r="I387" s="143">
        <f t="shared" si="563"/>
        <v>-162.7</v>
      </c>
      <c r="J387" s="143">
        <f t="shared" si="563"/>
        <v>610.7</v>
      </c>
      <c r="K387" s="143">
        <f t="shared" si="563"/>
        <v>948.1</v>
      </c>
      <c r="L387" s="143"/>
      <c r="M387" s="143">
        <f t="shared" ref="M387:N387" si="564">M376+M384</f>
        <v>382.9</v>
      </c>
      <c r="N387" s="143">
        <f t="shared" si="564"/>
        <v>645.9</v>
      </c>
      <c r="O387" s="143">
        <f t="shared" ref="O387" si="565">O376+O384</f>
        <v>1028.8</v>
      </c>
      <c r="P387" s="143"/>
      <c r="Q387" s="143">
        <f t="shared" ref="Q387:R387" si="566">Q376+Q384</f>
        <v>-52</v>
      </c>
      <c r="R387" s="143">
        <f t="shared" si="566"/>
        <v>774.2</v>
      </c>
      <c r="S387" s="143">
        <f t="shared" ref="S387" si="567">S376+S384</f>
        <v>722.2</v>
      </c>
      <c r="T387" s="143"/>
      <c r="U387" s="143">
        <f t="shared" ref="U387:V387" si="568">U376+U384</f>
        <v>87.6</v>
      </c>
      <c r="V387" s="143">
        <f t="shared" si="568"/>
        <v>513.5</v>
      </c>
      <c r="W387" s="143">
        <f t="shared" ref="W387" si="569">W376+W384</f>
        <v>601.1</v>
      </c>
      <c r="X387" s="404"/>
      <c r="Y387" s="143">
        <f t="shared" ref="Y387:AF387" si="570">Y376+Y384</f>
        <v>67.9</v>
      </c>
      <c r="Z387" s="143">
        <f t="shared" si="570"/>
        <v>677.1</v>
      </c>
      <c r="AA387" s="143">
        <f t="shared" si="570"/>
        <v>745</v>
      </c>
      <c r="AB387" s="143">
        <f t="shared" si="570"/>
        <v>606.98697791</v>
      </c>
      <c r="AC387" s="143">
        <f t="shared" si="570"/>
        <v>666.109267352952</v>
      </c>
      <c r="AD387" s="143">
        <f t="shared" si="570"/>
        <v>692.567138686548</v>
      </c>
      <c r="AE387" s="143">
        <f t="shared" si="570"/>
        <v>713.383462451421</v>
      </c>
      <c r="AF387" s="143">
        <f t="shared" si="570"/>
        <v>726.484466045999</v>
      </c>
    </row>
    <row r="388" ht="18.5" spans="3:32">
      <c r="C388" s="298" t="s">
        <v>40</v>
      </c>
      <c r="D388" s="298"/>
      <c r="E388" s="424"/>
      <c r="F388" s="202">
        <f t="shared" ref="F388:K388" si="571">F387/F172</f>
        <v>0.0806366968004866</v>
      </c>
      <c r="G388" s="202">
        <f t="shared" si="571"/>
        <v>0.0236263505275991</v>
      </c>
      <c r="H388" s="202">
        <f t="shared" si="571"/>
        <v>0.0417536534446764</v>
      </c>
      <c r="I388" s="202">
        <f t="shared" si="571"/>
        <v>-0.0344864131586757</v>
      </c>
      <c r="J388" s="202">
        <f t="shared" si="571"/>
        <v>0.0999378150160372</v>
      </c>
      <c r="K388" s="202">
        <f t="shared" si="571"/>
        <v>0.15373015744329</v>
      </c>
      <c r="L388" s="16"/>
      <c r="M388" s="16">
        <f>M387/M172</f>
        <v>0.0985382675382161</v>
      </c>
      <c r="N388" s="16">
        <f>N387/N172</f>
        <v>0.138095441717267</v>
      </c>
      <c r="O388" s="202">
        <f>O387/O172</f>
        <v>0.120144809062245</v>
      </c>
      <c r="P388" s="16"/>
      <c r="Q388" s="16">
        <f>Q387/Q172</f>
        <v>-0.0117700316885469</v>
      </c>
      <c r="R388" s="16">
        <f>R387/R172</f>
        <v>0.135657963903978</v>
      </c>
      <c r="S388" s="202">
        <f>S387/S172</f>
        <v>0.0713283950617284</v>
      </c>
      <c r="T388" s="109"/>
      <c r="U388" s="16">
        <f>U387/U172</f>
        <v>0.0183114195530843</v>
      </c>
      <c r="V388" s="16">
        <f>V387/V172</f>
        <v>0.0891787221479307</v>
      </c>
      <c r="W388" s="202">
        <f>W387/W172</f>
        <v>0.0570195408840827</v>
      </c>
      <c r="X388" s="109"/>
      <c r="Y388" s="16">
        <f>Y387/Y172</f>
        <v>0.013493104407615</v>
      </c>
      <c r="Z388" s="16">
        <f>Z387/Z172</f>
        <v>0.0995758208271239</v>
      </c>
      <c r="AA388" s="202">
        <f>AA387/AA172</f>
        <v>0.0629646095148913</v>
      </c>
      <c r="AB388" s="202">
        <f t="shared" ref="AB388:AF388" si="572">AB387/AB172</f>
        <v>0.0477086012470424</v>
      </c>
      <c r="AC388" s="202">
        <f t="shared" si="572"/>
        <v>0.0497438969326208</v>
      </c>
      <c r="AD388" s="202">
        <f t="shared" si="572"/>
        <v>0.0494721447097724</v>
      </c>
      <c r="AE388" s="202">
        <f t="shared" si="572"/>
        <v>0.0490987769361196</v>
      </c>
      <c r="AF388" s="202">
        <f t="shared" si="572"/>
        <v>0.0485459208958839</v>
      </c>
    </row>
    <row r="389" ht="18.5" spans="3:32">
      <c r="C389" s="298" t="s">
        <v>297</v>
      </c>
      <c r="D389" s="298"/>
      <c r="E389" s="424"/>
      <c r="F389" s="202">
        <f t="shared" ref="F389:K389" si="573">F387/$AH$395</f>
        <v>0.0403660346248969</v>
      </c>
      <c r="G389" s="202">
        <f t="shared" si="573"/>
        <v>0.0154438032426491</v>
      </c>
      <c r="H389" s="202">
        <f t="shared" si="573"/>
        <v>0.0362737015663644</v>
      </c>
      <c r="I389" s="202">
        <f t="shared" si="573"/>
        <v>-0.0447100851882385</v>
      </c>
      <c r="J389" s="202">
        <f t="shared" si="573"/>
        <v>0.167820829898324</v>
      </c>
      <c r="K389" s="202">
        <f t="shared" si="573"/>
        <v>0.260538609508107</v>
      </c>
      <c r="L389" s="16"/>
      <c r="M389" s="16">
        <f>M387/$AH$395</f>
        <v>0.105221214619401</v>
      </c>
      <c r="N389" s="16">
        <f>N387/$AH$395</f>
        <v>0.177493816982688</v>
      </c>
      <c r="O389" s="202">
        <f>O387/$AH$395</f>
        <v>0.282715031602088</v>
      </c>
      <c r="P389" s="16"/>
      <c r="Q389" s="16">
        <f>Q387/$AH$395</f>
        <v>-0.014289640010992</v>
      </c>
      <c r="R389" s="16">
        <f>R387/$AH$395</f>
        <v>0.212750755702116</v>
      </c>
      <c r="S389" s="202">
        <f>S387/$AH$395</f>
        <v>0.198461115691124</v>
      </c>
      <c r="T389" s="110"/>
      <c r="U389" s="16">
        <f>U387/$AH$395</f>
        <v>0.0240725474031327</v>
      </c>
      <c r="V389" s="16">
        <f>V387/$AH$395</f>
        <v>0.141110195108546</v>
      </c>
      <c r="W389" s="202">
        <f>W387/$AH$395</f>
        <v>0.165182742511679</v>
      </c>
      <c r="X389" s="110"/>
      <c r="Y389" s="16">
        <f t="shared" ref="Y389:AF389" si="574">Y387/$AH$395</f>
        <v>0.0186589722451223</v>
      </c>
      <c r="Z389" s="16">
        <f t="shared" si="574"/>
        <v>0.186067600989283</v>
      </c>
      <c r="AA389" s="202">
        <f t="shared" si="574"/>
        <v>0.204726573234405</v>
      </c>
      <c r="AB389" s="202">
        <f t="shared" si="574"/>
        <v>0.166800488571036</v>
      </c>
      <c r="AC389" s="202">
        <f t="shared" si="574"/>
        <v>0.183047339201141</v>
      </c>
      <c r="AD389" s="202">
        <f t="shared" si="574"/>
        <v>0.190317982601415</v>
      </c>
      <c r="AE389" s="202">
        <f t="shared" si="574"/>
        <v>0.196038324388959</v>
      </c>
      <c r="AF389" s="202">
        <f t="shared" si="574"/>
        <v>0.199638490257213</v>
      </c>
    </row>
    <row r="390" ht="18.5" spans="3:32">
      <c r="C390" s="298"/>
      <c r="D390" s="298"/>
      <c r="E390" s="424"/>
      <c r="F390" s="206"/>
      <c r="G390" s="206"/>
      <c r="H390" s="206"/>
      <c r="I390" s="206"/>
      <c r="J390" s="206"/>
      <c r="K390" s="206"/>
      <c r="L390" s="8"/>
      <c r="M390" s="8"/>
      <c r="N390" s="8"/>
      <c r="O390" s="206"/>
      <c r="P390" s="8"/>
      <c r="Q390" s="8"/>
      <c r="R390" s="8"/>
      <c r="S390" s="206"/>
      <c r="T390" s="109"/>
      <c r="U390" s="8"/>
      <c r="V390" s="8"/>
      <c r="W390" s="206"/>
      <c r="X390" s="109"/>
      <c r="Y390" s="8"/>
      <c r="Z390" s="109"/>
      <c r="AA390" s="436"/>
      <c r="AB390" s="193"/>
      <c r="AC390" s="193"/>
      <c r="AD390" s="193"/>
      <c r="AE390" s="193"/>
      <c r="AF390" s="193"/>
    </row>
    <row r="391" s="151" customFormat="1" ht="18.5" spans="3:32">
      <c r="C391" s="434" t="s">
        <v>298</v>
      </c>
      <c r="D391" s="434"/>
      <c r="E391" s="435">
        <f t="shared" ref="E391:K391" si="575">E387/E238</f>
        <v>0.27189270862904</v>
      </c>
      <c r="F391" s="435">
        <f t="shared" si="575"/>
        <v>0.754662310039764</v>
      </c>
      <c r="G391" s="435">
        <f t="shared" si="575"/>
        <v>0.0577456690850936</v>
      </c>
      <c r="H391" s="435">
        <f t="shared" si="575"/>
        <v>0.135630397139366</v>
      </c>
      <c r="I391" s="435">
        <f t="shared" si="575"/>
        <v>-0.167174739504355</v>
      </c>
      <c r="J391" s="435">
        <f t="shared" si="575"/>
        <v>0.627496087371293</v>
      </c>
      <c r="K391" s="435">
        <f t="shared" si="575"/>
        <v>0.194835120496716</v>
      </c>
      <c r="L391" s="435"/>
      <c r="M391" s="435">
        <f>M387/M238</f>
        <v>0.0742327601248522</v>
      </c>
      <c r="N391" s="435">
        <f>N387/N238</f>
        <v>0.125219659181342</v>
      </c>
      <c r="O391" s="435">
        <f>O387/O238</f>
        <v>0.199451904885842</v>
      </c>
      <c r="P391" s="435"/>
      <c r="Q391" s="435">
        <f>Q387/Q238</f>
        <v>-0.0100810360203172</v>
      </c>
      <c r="R391" s="435">
        <f>R387/R238</f>
        <v>0.150082450058165</v>
      </c>
      <c r="S391" s="435">
        <f>S387/S238</f>
        <v>0.140001996166374</v>
      </c>
      <c r="T391" s="143"/>
      <c r="U391" s="435">
        <f>U387/U238</f>
        <v>0.0169816877100171</v>
      </c>
      <c r="V391" s="435">
        <f>V387/V238</f>
        <v>0.0990713007073674</v>
      </c>
      <c r="W391" s="435">
        <f>W387/W238</f>
        <v>0.115972266514505</v>
      </c>
      <c r="X391" s="143"/>
      <c r="Y391" s="435">
        <f>Y387/Y238</f>
        <v>0.0131001778345282</v>
      </c>
      <c r="Z391" s="435">
        <f t="shared" ref="Z391:AF391" si="576">Z387/Z238</f>
        <v>0.130635204885995</v>
      </c>
      <c r="AA391" s="435">
        <f t="shared" si="576"/>
        <v>0.143735382720523</v>
      </c>
      <c r="AB391" s="435">
        <f t="shared" si="576"/>
        <v>0.117108061176198</v>
      </c>
      <c r="AC391" s="435">
        <f t="shared" si="576"/>
        <v>0.128514725472032</v>
      </c>
      <c r="AD391" s="435">
        <f t="shared" si="576"/>
        <v>0.13361933253526</v>
      </c>
      <c r="AE391" s="435">
        <f t="shared" si="576"/>
        <v>0.137635496646909</v>
      </c>
      <c r="AF391" s="435">
        <f t="shared" si="576"/>
        <v>0.140163117808908</v>
      </c>
    </row>
    <row r="392" ht="18.5" spans="3:32">
      <c r="C392" s="292" t="s">
        <v>18</v>
      </c>
      <c r="D392" s="292"/>
      <c r="E392" s="202"/>
      <c r="F392" s="202">
        <f>F391/E391-1</f>
        <v>1.77558862775315</v>
      </c>
      <c r="G392" s="202">
        <f t="shared" ref="G392:K392" si="577">G391/F391-1</f>
        <v>-0.923481445519585</v>
      </c>
      <c r="H392" s="202">
        <f t="shared" si="577"/>
        <v>1.34875444839858</v>
      </c>
      <c r="I392" s="202">
        <f t="shared" si="577"/>
        <v>-2.23257575757576</v>
      </c>
      <c r="J392" s="202">
        <f t="shared" si="577"/>
        <v>-4.75353411186232</v>
      </c>
      <c r="K392" s="202">
        <f t="shared" si="577"/>
        <v>-0.689503848043229</v>
      </c>
      <c r="L392" s="16"/>
      <c r="M392" s="16"/>
      <c r="N392" s="16"/>
      <c r="O392" s="202">
        <f>O391/K391-1</f>
        <v>0.0236958530749241</v>
      </c>
      <c r="P392" s="16"/>
      <c r="Q392" s="16">
        <f>Q391/M391-1</f>
        <v>-1.13580306058083</v>
      </c>
      <c r="R392" s="16">
        <f>R391/N391-1</f>
        <v>0.198553414370948</v>
      </c>
      <c r="S392" s="202">
        <f>S391/O391-1</f>
        <v>-0.298066387250074</v>
      </c>
      <c r="T392" s="110"/>
      <c r="U392" s="16">
        <f>U391/Q391-1</f>
        <v>-2.68451810665019</v>
      </c>
      <c r="V392" s="16">
        <f>V391/R391-1</f>
        <v>-0.339887504042129</v>
      </c>
      <c r="W392" s="202">
        <f>W391/S391-1</f>
        <v>-0.171638478806488</v>
      </c>
      <c r="X392" s="110"/>
      <c r="Y392" s="16">
        <f>Y391/U391-1</f>
        <v>-0.22857032479753</v>
      </c>
      <c r="Z392" s="16">
        <f>Z391/V391-1</f>
        <v>0.318597857838365</v>
      </c>
      <c r="AA392" s="202">
        <f>AA391/W391-1</f>
        <v>0.239394443520213</v>
      </c>
      <c r="AB392" s="202">
        <f>AB391/AA391-1</f>
        <v>-0.185252378644295</v>
      </c>
      <c r="AC392" s="202">
        <f t="shared" ref="AC392:AF392" si="578">AC391/AB391-1</f>
        <v>0.0974028959344797</v>
      </c>
      <c r="AD392" s="202">
        <f t="shared" si="578"/>
        <v>0.0397200168656062</v>
      </c>
      <c r="AE392" s="202">
        <f t="shared" si="578"/>
        <v>0.0300567592686407</v>
      </c>
      <c r="AF392" s="202">
        <f t="shared" si="578"/>
        <v>0.0183646023269985</v>
      </c>
    </row>
    <row r="393" ht="18.5" spans="3:32">
      <c r="C393" s="298"/>
      <c r="D393" s="298"/>
      <c r="E393" s="424"/>
      <c r="F393" s="206"/>
      <c r="G393" s="206"/>
      <c r="H393" s="206"/>
      <c r="I393" s="201"/>
      <c r="J393" s="201"/>
      <c r="K393" s="201"/>
      <c r="L393" s="109"/>
      <c r="M393" s="109"/>
      <c r="N393" s="109"/>
      <c r="O393" s="201"/>
      <c r="P393" s="109"/>
      <c r="Q393" s="109"/>
      <c r="R393" s="109"/>
      <c r="S393" s="201"/>
      <c r="T393" s="109"/>
      <c r="U393" s="109"/>
      <c r="V393" s="109"/>
      <c r="W393" s="201"/>
      <c r="X393" s="109"/>
      <c r="Y393" s="109"/>
      <c r="Z393" s="109"/>
      <c r="AA393" s="436"/>
      <c r="AB393" s="193"/>
      <c r="AC393" s="193"/>
      <c r="AD393" s="193"/>
      <c r="AE393" s="193"/>
      <c r="AF393" s="193"/>
    </row>
    <row r="394" ht="18.5" spans="3:34">
      <c r="C394" s="292" t="s">
        <v>299</v>
      </c>
      <c r="D394" s="292"/>
      <c r="E394" s="433"/>
      <c r="F394" s="206"/>
      <c r="G394" s="206"/>
      <c r="H394" s="206"/>
      <c r="I394" s="201"/>
      <c r="J394" s="201"/>
      <c r="K394" s="201"/>
      <c r="L394" s="109"/>
      <c r="M394" s="109"/>
      <c r="N394" s="109"/>
      <c r="O394" s="201"/>
      <c r="P394" s="109"/>
      <c r="Q394" s="109"/>
      <c r="R394" s="109"/>
      <c r="S394" s="201"/>
      <c r="T394" s="109"/>
      <c r="U394" s="109"/>
      <c r="V394" s="109"/>
      <c r="W394" s="201"/>
      <c r="X394" s="109"/>
      <c r="Y394" s="109"/>
      <c r="Z394" s="109"/>
      <c r="AA394" s="436"/>
      <c r="AB394" s="193"/>
      <c r="AC394" s="193"/>
      <c r="AD394" s="193"/>
      <c r="AE394" s="193"/>
      <c r="AF394" s="193"/>
      <c r="AG394" s="437" t="s">
        <v>23</v>
      </c>
      <c r="AH394" s="438">
        <v>0.679</v>
      </c>
    </row>
    <row r="395" ht="18.5" spans="3:34">
      <c r="C395" s="292" t="s">
        <v>300</v>
      </c>
      <c r="D395" s="292"/>
      <c r="E395" s="433"/>
      <c r="F395" s="206"/>
      <c r="G395" s="206"/>
      <c r="H395" s="206"/>
      <c r="I395" s="201"/>
      <c r="J395" s="201"/>
      <c r="K395" s="201"/>
      <c r="L395" s="109"/>
      <c r="M395" s="109"/>
      <c r="N395" s="109"/>
      <c r="O395" s="201"/>
      <c r="P395" s="109"/>
      <c r="Q395" s="109"/>
      <c r="R395" s="109"/>
      <c r="S395" s="201"/>
      <c r="T395" s="109"/>
      <c r="U395" s="109"/>
      <c r="V395" s="109"/>
      <c r="W395" s="201"/>
      <c r="X395" s="109"/>
      <c r="Y395" s="109"/>
      <c r="Z395" s="109"/>
      <c r="AA395" s="436"/>
      <c r="AB395" s="193"/>
      <c r="AC395" s="193"/>
      <c r="AD395" s="193"/>
      <c r="AE395" s="193"/>
      <c r="AF395" s="193"/>
      <c r="AG395" s="437" t="s">
        <v>301</v>
      </c>
      <c r="AH395" s="439">
        <v>3639</v>
      </c>
    </row>
    <row r="396" ht="16.25"/>
    <row r="397" ht="19.25" spans="33:41">
      <c r="AG397" s="440" t="s">
        <v>302</v>
      </c>
      <c r="AH397" s="441"/>
      <c r="AI397" s="441"/>
      <c r="AJ397" s="441"/>
      <c r="AK397" s="441"/>
      <c r="AL397" s="441"/>
      <c r="AM397" s="441"/>
      <c r="AN397" s="441"/>
      <c r="AO397" s="473"/>
    </row>
    <row r="398" ht="18.5" spans="33:41">
      <c r="AG398" s="442" t="s">
        <v>303</v>
      </c>
      <c r="AH398" s="443" t="s">
        <v>304</v>
      </c>
      <c r="AI398" s="444">
        <v>20</v>
      </c>
      <c r="AJ398" s="445">
        <v>255</v>
      </c>
      <c r="AK398" s="444">
        <f>AVERAGE(AI398:AJ398)</f>
        <v>137.5</v>
      </c>
      <c r="AL398" s="446" t="s">
        <v>305</v>
      </c>
      <c r="AM398" s="447">
        <f>AVERAGE(AK398,AK404,AK410)</f>
        <v>103.333333333333</v>
      </c>
      <c r="AN398" s="448">
        <v>0.562</v>
      </c>
      <c r="AO398" s="474">
        <f>AM398*AN398+AM404*AN404+AM410*AN410</f>
        <v>150.448333333333</v>
      </c>
    </row>
    <row r="399" ht="16.25" spans="33:41">
      <c r="AG399" s="449"/>
      <c r="AH399" s="450"/>
      <c r="AI399" s="100"/>
      <c r="AJ399" s="451"/>
      <c r="AK399" s="100"/>
      <c r="AL399" s="452"/>
      <c r="AM399" s="453"/>
      <c r="AN399" s="454"/>
      <c r="AO399" s="475"/>
    </row>
    <row r="400" ht="18.5" spans="33:41">
      <c r="AG400" s="449"/>
      <c r="AH400" s="443" t="s">
        <v>306</v>
      </c>
      <c r="AI400" s="444">
        <v>2</v>
      </c>
      <c r="AJ400" s="445"/>
      <c r="AK400" s="444">
        <f>AVERAGE(AI401:AJ401)</f>
        <v>315</v>
      </c>
      <c r="AL400" s="452"/>
      <c r="AM400" s="453"/>
      <c r="AN400" s="454"/>
      <c r="AO400" s="475"/>
    </row>
    <row r="401" ht="19.25" spans="33:41">
      <c r="AG401" s="449"/>
      <c r="AH401" s="450"/>
      <c r="AI401" s="100"/>
      <c r="AJ401" s="455">
        <v>315</v>
      </c>
      <c r="AK401" s="100"/>
      <c r="AL401" s="452"/>
      <c r="AM401" s="453"/>
      <c r="AN401" s="454"/>
      <c r="AO401" s="475"/>
    </row>
    <row r="402" ht="18.5" spans="33:41">
      <c r="AG402" s="449"/>
      <c r="AH402" s="443" t="s">
        <v>307</v>
      </c>
      <c r="AI402" s="444">
        <v>5</v>
      </c>
      <c r="AJ402" s="445"/>
      <c r="AK402" s="456">
        <f>AVERAGE(AI403:AJ403)</f>
        <v>345</v>
      </c>
      <c r="AL402" s="452"/>
      <c r="AM402" s="453"/>
      <c r="AN402" s="454"/>
      <c r="AO402" s="475"/>
    </row>
    <row r="403" ht="19.25" spans="33:41">
      <c r="AG403" s="457"/>
      <c r="AH403" s="450"/>
      <c r="AI403" s="100"/>
      <c r="AJ403" s="455">
        <v>345</v>
      </c>
      <c r="AK403" s="458"/>
      <c r="AL403" s="459"/>
      <c r="AM403" s="460"/>
      <c r="AN403" s="461"/>
      <c r="AO403" s="475"/>
    </row>
    <row r="404" ht="18.5" spans="33:41">
      <c r="AG404" s="442" t="s">
        <v>308</v>
      </c>
      <c r="AH404" s="443" t="s">
        <v>304</v>
      </c>
      <c r="AI404" s="444">
        <v>10</v>
      </c>
      <c r="AJ404" s="445">
        <v>190</v>
      </c>
      <c r="AK404" s="456">
        <f>AVERAGE(AI404:AJ404)</f>
        <v>100</v>
      </c>
      <c r="AL404" s="446" t="s">
        <v>309</v>
      </c>
      <c r="AM404" s="447">
        <f>AVERAGE(AK400,AK406,AK412)</f>
        <v>183.333333333333</v>
      </c>
      <c r="AN404" s="448">
        <v>0.323</v>
      </c>
      <c r="AO404" s="475"/>
    </row>
    <row r="405" ht="19.25" spans="33:41">
      <c r="AG405" s="449"/>
      <c r="AH405" s="450"/>
      <c r="AI405" s="462"/>
      <c r="AJ405" s="455"/>
      <c r="AK405" s="463"/>
      <c r="AL405" s="452"/>
      <c r="AM405" s="453"/>
      <c r="AN405" s="454"/>
      <c r="AO405" s="475"/>
    </row>
    <row r="406" ht="18.5" spans="33:41">
      <c r="AG406" s="449"/>
      <c r="AH406" s="443" t="s">
        <v>306</v>
      </c>
      <c r="AI406" s="444">
        <v>3</v>
      </c>
      <c r="AJ406" s="445">
        <v>280</v>
      </c>
      <c r="AK406" s="456">
        <f>AVERAGE(AI406:AJ406)</f>
        <v>141.5</v>
      </c>
      <c r="AL406" s="452"/>
      <c r="AM406" s="453"/>
      <c r="AN406" s="454"/>
      <c r="AO406" s="475"/>
    </row>
    <row r="407" ht="19.25" spans="33:41">
      <c r="AG407" s="449"/>
      <c r="AH407" s="450"/>
      <c r="AI407" s="462"/>
      <c r="AJ407" s="455"/>
      <c r="AK407" s="463"/>
      <c r="AL407" s="452"/>
      <c r="AM407" s="453"/>
      <c r="AN407" s="454"/>
      <c r="AO407" s="475"/>
    </row>
    <row r="408" ht="18.5" spans="33:41">
      <c r="AG408" s="449"/>
      <c r="AH408" s="443" t="s">
        <v>307</v>
      </c>
      <c r="AI408" s="444">
        <v>5</v>
      </c>
      <c r="AJ408" s="445"/>
      <c r="AK408" s="456">
        <f>AVERAGE(AI409:AJ409)</f>
        <v>345</v>
      </c>
      <c r="AL408" s="452"/>
      <c r="AM408" s="453"/>
      <c r="AN408" s="454"/>
      <c r="AO408" s="475"/>
    </row>
    <row r="409" ht="19.25" spans="33:41">
      <c r="AG409" s="457"/>
      <c r="AH409" s="450"/>
      <c r="AI409" s="100"/>
      <c r="AJ409" s="455">
        <v>345</v>
      </c>
      <c r="AK409" s="458"/>
      <c r="AL409" s="459"/>
      <c r="AM409" s="460"/>
      <c r="AN409" s="461"/>
      <c r="AO409" s="475"/>
    </row>
    <row r="410" ht="18.5" spans="33:41">
      <c r="AG410" s="442" t="s">
        <v>310</v>
      </c>
      <c r="AH410" s="443" t="s">
        <v>304</v>
      </c>
      <c r="AI410" s="444">
        <v>5</v>
      </c>
      <c r="AJ410" s="445">
        <v>140</v>
      </c>
      <c r="AK410" s="456">
        <f>AVERAGE(AI410:AJ410)</f>
        <v>72.5</v>
      </c>
      <c r="AL410" s="446" t="s">
        <v>311</v>
      </c>
      <c r="AM410" s="464">
        <f>AVERAGE(AK402,AK408,AK414)</f>
        <v>288.333333333333</v>
      </c>
      <c r="AN410" s="448">
        <f>1-AN398-AN404</f>
        <v>0.115</v>
      </c>
      <c r="AO410" s="475"/>
    </row>
    <row r="411" ht="19.25" spans="33:41">
      <c r="AG411" s="449"/>
      <c r="AH411" s="450"/>
      <c r="AI411" s="100"/>
      <c r="AJ411" s="455"/>
      <c r="AK411" s="458"/>
      <c r="AL411" s="452"/>
      <c r="AM411" s="465"/>
      <c r="AN411" s="454"/>
      <c r="AO411" s="475"/>
    </row>
    <row r="412" ht="18.5" spans="33:41">
      <c r="AG412" s="449"/>
      <c r="AH412" s="443" t="s">
        <v>306</v>
      </c>
      <c r="AI412" s="444">
        <v>2</v>
      </c>
      <c r="AJ412" s="445">
        <v>185</v>
      </c>
      <c r="AK412" s="456">
        <f>AVERAGE(AI412:AJ412)</f>
        <v>93.5</v>
      </c>
      <c r="AL412" s="452"/>
      <c r="AM412" s="465"/>
      <c r="AN412" s="454"/>
      <c r="AO412" s="475"/>
    </row>
    <row r="413" ht="19.25" spans="33:41">
      <c r="AG413" s="449"/>
      <c r="AH413" s="466"/>
      <c r="AI413" s="462"/>
      <c r="AJ413" s="467"/>
      <c r="AK413" s="463"/>
      <c r="AL413" s="452"/>
      <c r="AM413" s="465"/>
      <c r="AN413" s="454"/>
      <c r="AO413" s="475"/>
    </row>
    <row r="414" ht="19.25" spans="33:41">
      <c r="AG414" s="468"/>
      <c r="AH414" s="443" t="s">
        <v>307</v>
      </c>
      <c r="AI414" s="444">
        <v>5</v>
      </c>
      <c r="AJ414" s="469">
        <v>345</v>
      </c>
      <c r="AK414" s="456">
        <f>AVERAGE(AI414:AJ414)</f>
        <v>175</v>
      </c>
      <c r="AL414" s="452"/>
      <c r="AM414" s="465"/>
      <c r="AN414" s="454"/>
      <c r="AO414" s="475"/>
    </row>
    <row r="415" ht="16.25" spans="33:41">
      <c r="AG415" s="470"/>
      <c r="AH415" s="466"/>
      <c r="AI415" s="462"/>
      <c r="AJ415" s="471"/>
      <c r="AK415" s="463"/>
      <c r="AL415" s="459"/>
      <c r="AM415" s="472"/>
      <c r="AN415" s="461"/>
      <c r="AO415" s="476"/>
    </row>
  </sheetData>
  <mergeCells count="41">
    <mergeCell ref="AG397:AO397"/>
    <mergeCell ref="AG398:AG403"/>
    <mergeCell ref="AG404:AG409"/>
    <mergeCell ref="AG410:AG415"/>
    <mergeCell ref="AH398:AH399"/>
    <mergeCell ref="AH400:AH401"/>
    <mergeCell ref="AH402:AH403"/>
    <mergeCell ref="AH404:AH405"/>
    <mergeCell ref="AH406:AH407"/>
    <mergeCell ref="AH408:AH409"/>
    <mergeCell ref="AH410:AH411"/>
    <mergeCell ref="AH412:AH413"/>
    <mergeCell ref="AH414:AH415"/>
    <mergeCell ref="AI398:AI399"/>
    <mergeCell ref="AI400:AI401"/>
    <mergeCell ref="AI402:AI403"/>
    <mergeCell ref="AI404:AI405"/>
    <mergeCell ref="AI406:AI407"/>
    <mergeCell ref="AI408:AI409"/>
    <mergeCell ref="AI410:AI411"/>
    <mergeCell ref="AI412:AI413"/>
    <mergeCell ref="AI414:AI415"/>
    <mergeCell ref="AK398:AK399"/>
    <mergeCell ref="AK400:AK401"/>
    <mergeCell ref="AK402:AK403"/>
    <mergeCell ref="AK404:AK405"/>
    <mergeCell ref="AK406:AK407"/>
    <mergeCell ref="AK408:AK409"/>
    <mergeCell ref="AK410:AK411"/>
    <mergeCell ref="AK412:AK413"/>
    <mergeCell ref="AK414:AK415"/>
    <mergeCell ref="AL398:AL403"/>
    <mergeCell ref="AL404:AL409"/>
    <mergeCell ref="AL410:AL415"/>
    <mergeCell ref="AM398:AM403"/>
    <mergeCell ref="AM404:AM409"/>
    <mergeCell ref="AM410:AM415"/>
    <mergeCell ref="AN398:AN403"/>
    <mergeCell ref="AN404:AN409"/>
    <mergeCell ref="AN410:AN415"/>
    <mergeCell ref="AO398:AO415"/>
  </mergeCell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D35"/>
  <sheetViews>
    <sheetView showGridLines="0" zoomScale="85" zoomScaleNormal="85" workbookViewId="0">
      <pane xSplit="2" ySplit="4" topLeftCell="L5" activePane="bottomRight" state="frozen"/>
      <selection/>
      <selection pane="topRight"/>
      <selection pane="bottomLeft"/>
      <selection pane="bottomRight" activeCell="AA32" sqref="AA32"/>
    </sheetView>
  </sheetViews>
  <sheetFormatPr defaultColWidth="9" defaultRowHeight="15.5"/>
  <cols>
    <col min="1" max="1" width="2.37692307692308" customWidth="1"/>
    <col min="2" max="2" width="42.7538461538462" customWidth="1"/>
    <col min="3" max="3" width="2" customWidth="1"/>
    <col min="4" max="4" width="12.5" hidden="1" customWidth="1"/>
    <col min="5" max="5" width="11.1230769230769" hidden="1" customWidth="1"/>
    <col min="6" max="9" width="10.3769230769231" customWidth="1"/>
    <col min="10" max="10" width="12.1230769230769" customWidth="1"/>
    <col min="11" max="12" width="10.3769230769231" customWidth="1"/>
    <col min="13" max="13" width="11.1230769230769" customWidth="1"/>
    <col min="14" max="18" width="11.7538461538462" customWidth="1"/>
    <col min="19" max="19" width="11.7538461538462" hidden="1" customWidth="1"/>
    <col min="20" max="20" width="2.62307692307692" customWidth="1"/>
    <col min="21" max="21" width="21" customWidth="1"/>
    <col min="22" max="22" width="13.2538461538462" customWidth="1"/>
    <col min="23" max="23" width="3.5" customWidth="1"/>
    <col min="24" max="24" width="26.2538461538462" customWidth="1"/>
    <col min="25" max="25" width="11.5" customWidth="1"/>
    <col min="26" max="26" width="2.62307692307692" customWidth="1"/>
    <col min="27" max="27" width="10.6230769230769" customWidth="1"/>
    <col min="29" max="29" width="11.8769230769231" customWidth="1"/>
  </cols>
  <sheetData>
    <row r="2" ht="16.25"/>
    <row r="3" ht="19.25" spans="4:5">
      <c r="D3" s="152" t="s">
        <v>312</v>
      </c>
      <c r="E3" s="153">
        <v>0.77</v>
      </c>
    </row>
    <row r="4" ht="26.75" spans="2:19">
      <c r="B4" s="154" t="s">
        <v>95</v>
      </c>
      <c r="D4" s="155">
        <v>2014</v>
      </c>
      <c r="E4" s="155">
        <v>2015</v>
      </c>
      <c r="F4" s="94" t="s">
        <v>313</v>
      </c>
      <c r="G4" s="94" t="s">
        <v>314</v>
      </c>
      <c r="H4" s="94" t="s">
        <v>315</v>
      </c>
      <c r="I4" s="94" t="s">
        <v>6</v>
      </c>
      <c r="J4" s="94" t="s">
        <v>7</v>
      </c>
      <c r="K4" s="94" t="s">
        <v>8</v>
      </c>
      <c r="L4" s="94" t="s">
        <v>9</v>
      </c>
      <c r="M4" s="94" t="s">
        <v>10</v>
      </c>
      <c r="N4" s="94" t="s">
        <v>11</v>
      </c>
      <c r="O4" s="94" t="s">
        <v>12</v>
      </c>
      <c r="P4" s="94" t="s">
        <v>13</v>
      </c>
      <c r="Q4" s="94" t="s">
        <v>14</v>
      </c>
      <c r="R4" s="94" t="s">
        <v>15</v>
      </c>
      <c r="S4" s="155" t="s">
        <v>316</v>
      </c>
    </row>
    <row r="5" ht="23.5" spans="6:19">
      <c r="F5" s="118"/>
      <c r="G5" s="118"/>
      <c r="H5" s="118"/>
      <c r="I5" s="118"/>
      <c r="J5" s="118"/>
      <c r="K5" s="118"/>
      <c r="L5" s="118"/>
      <c r="M5" s="118"/>
      <c r="N5" s="118"/>
      <c r="O5" s="118"/>
      <c r="P5" s="118"/>
      <c r="Q5" s="118"/>
      <c r="R5" s="118"/>
      <c r="S5" s="118"/>
    </row>
    <row r="6" ht="26" spans="2:30">
      <c r="B6" s="107" t="s">
        <v>317</v>
      </c>
      <c r="C6" s="156"/>
      <c r="D6" s="119"/>
      <c r="E6" s="119"/>
      <c r="F6" s="119"/>
      <c r="G6" s="119"/>
      <c r="H6" s="119"/>
      <c r="I6" s="119"/>
      <c r="J6" s="119"/>
      <c r="K6" s="119"/>
      <c r="L6" s="119"/>
      <c r="M6" s="119"/>
      <c r="N6" s="119"/>
      <c r="O6" s="119"/>
      <c r="P6" s="119"/>
      <c r="Q6" s="119"/>
      <c r="R6" s="119"/>
      <c r="S6" s="175"/>
      <c r="U6" s="119" t="s">
        <v>318</v>
      </c>
      <c r="V6" s="119"/>
      <c r="X6" s="119" t="s">
        <v>319</v>
      </c>
      <c r="Y6" s="119"/>
      <c r="AA6" s="119" t="s">
        <v>320</v>
      </c>
      <c r="AB6" s="119"/>
      <c r="AC6" s="119"/>
      <c r="AD6" s="119"/>
    </row>
    <row r="7" s="2" customFormat="1" ht="18.5" spans="2:30">
      <c r="B7" s="141"/>
      <c r="C7" s="157"/>
      <c r="D7" s="158"/>
      <c r="E7" s="158"/>
      <c r="F7" s="158"/>
      <c r="G7" s="158"/>
      <c r="H7" s="158"/>
      <c r="I7" s="158"/>
      <c r="J7" s="158"/>
      <c r="K7" s="158"/>
      <c r="L7" s="158"/>
      <c r="M7" s="158"/>
      <c r="N7" s="158"/>
      <c r="O7" s="158"/>
      <c r="P7" s="158"/>
      <c r="Q7" s="158"/>
      <c r="R7" s="158"/>
      <c r="S7" s="158"/>
      <c r="U7" s="2" t="s">
        <v>321</v>
      </c>
      <c r="V7" s="16">
        <f>((I8/E8)^(1/5))-1</f>
        <v>0.0492952129314645</v>
      </c>
      <c r="X7" s="2" t="s">
        <v>322</v>
      </c>
      <c r="Y7" s="16">
        <f>V10</f>
        <v>0.0378529965226501</v>
      </c>
      <c r="AA7" s="178"/>
      <c r="AB7" s="132" t="s">
        <v>26</v>
      </c>
      <c r="AC7" s="132" t="s">
        <v>323</v>
      </c>
      <c r="AD7" s="132" t="s">
        <v>324</v>
      </c>
    </row>
    <row r="8" ht="18.5" spans="2:30">
      <c r="B8" s="8" t="s">
        <v>325</v>
      </c>
      <c r="C8" s="8"/>
      <c r="D8" s="109">
        <f t="shared" ref="D8:S8" si="0">D9*$E$3</f>
        <v>214009.95</v>
      </c>
      <c r="E8" s="109">
        <f t="shared" si="0"/>
        <v>208539.87</v>
      </c>
      <c r="F8" s="109">
        <f t="shared" si="0"/>
        <v>216278.832</v>
      </c>
      <c r="G8" s="109">
        <f t="shared" si="0"/>
        <v>233209.746</v>
      </c>
      <c r="H8" s="109">
        <f t="shared" si="0"/>
        <v>253335.544</v>
      </c>
      <c r="I8" s="109">
        <f t="shared" si="0"/>
        <v>265263.537</v>
      </c>
      <c r="J8" s="109">
        <f t="shared" si="0"/>
        <v>230507.2</v>
      </c>
      <c r="K8" s="109">
        <f t="shared" si="0"/>
        <v>279893.999</v>
      </c>
      <c r="L8" s="109">
        <f t="shared" si="0"/>
        <v>285401.193</v>
      </c>
      <c r="M8" s="109">
        <f t="shared" si="0"/>
        <v>302192.429</v>
      </c>
      <c r="N8" s="163">
        <f t="shared" si="0"/>
        <v>313640.096</v>
      </c>
      <c r="O8" s="163">
        <f t="shared" si="0"/>
        <v>332289.419</v>
      </c>
      <c r="P8" s="163">
        <f t="shared" si="0"/>
        <v>351193.689</v>
      </c>
      <c r="Q8" s="163">
        <f t="shared" si="0"/>
        <v>370786.801</v>
      </c>
      <c r="R8" s="163">
        <f t="shared" si="0"/>
        <v>390187.49</v>
      </c>
      <c r="S8" s="163">
        <f t="shared" si="0"/>
        <v>410133.416</v>
      </c>
      <c r="U8" s="2" t="s">
        <v>326</v>
      </c>
      <c r="V8" s="16">
        <f>((M8/I8)^(1/5))-1</f>
        <v>0.0264107801138356</v>
      </c>
      <c r="X8" s="2" t="s">
        <v>327</v>
      </c>
      <c r="Y8" s="16">
        <f>AVERAGE(I31:M31)/2</f>
        <v>0.0576736400851276</v>
      </c>
      <c r="AA8" s="8" t="s">
        <v>328</v>
      </c>
      <c r="AB8" s="179">
        <v>13.4</v>
      </c>
      <c r="AC8" s="180">
        <v>0.07</v>
      </c>
      <c r="AD8" s="179">
        <f>13.4/7</f>
        <v>1.91428571428571</v>
      </c>
    </row>
    <row r="9" ht="18.5" hidden="1" spans="2:30">
      <c r="B9" s="2"/>
      <c r="C9" s="2"/>
      <c r="D9" s="2">
        <v>277935</v>
      </c>
      <c r="E9" s="159">
        <v>270831</v>
      </c>
      <c r="F9" s="159">
        <v>280881.6</v>
      </c>
      <c r="G9" s="159">
        <v>302869.8</v>
      </c>
      <c r="H9" s="159">
        <v>329007.2</v>
      </c>
      <c r="I9" s="159">
        <v>344498.1</v>
      </c>
      <c r="J9" s="159">
        <v>299360</v>
      </c>
      <c r="K9" s="159">
        <v>363498.7</v>
      </c>
      <c r="L9" s="159">
        <v>370650.9</v>
      </c>
      <c r="M9" s="159">
        <v>392457.7</v>
      </c>
      <c r="N9" s="164">
        <v>407324.8</v>
      </c>
      <c r="O9" s="164">
        <v>431544.7</v>
      </c>
      <c r="P9" s="164">
        <v>456095.7</v>
      </c>
      <c r="Q9" s="164">
        <v>481541.3</v>
      </c>
      <c r="R9" s="164">
        <v>506737</v>
      </c>
      <c r="S9" s="164">
        <v>532640.8</v>
      </c>
      <c r="U9" s="2"/>
      <c r="X9" s="2"/>
      <c r="Y9" s="2"/>
      <c r="AA9" s="8"/>
      <c r="AB9" s="179"/>
      <c r="AC9" s="180"/>
      <c r="AD9" s="179" t="e">
        <f t="shared" ref="AD9" si="1">AB9/AC9</f>
        <v>#DIV/0!</v>
      </c>
    </row>
    <row r="10" ht="18.5" spans="2:30">
      <c r="B10" s="2" t="s">
        <v>18</v>
      </c>
      <c r="C10" s="2"/>
      <c r="E10" s="160">
        <f>E8/D8-1</f>
        <v>-0.025559933077878</v>
      </c>
      <c r="F10" s="160">
        <f>F8/E8-1</f>
        <v>0.0371102274111901</v>
      </c>
      <c r="G10" s="160">
        <f t="shared" ref="G10:S10" si="2">G8/F8-1</f>
        <v>0.0782828067057435</v>
      </c>
      <c r="H10" s="160">
        <f t="shared" si="2"/>
        <v>0.0862991291967705</v>
      </c>
      <c r="I10" s="165">
        <f t="shared" si="2"/>
        <v>0.0470837720268735</v>
      </c>
      <c r="J10" s="165">
        <f t="shared" si="2"/>
        <v>-0.131025686353568</v>
      </c>
      <c r="K10" s="160">
        <f t="shared" si="2"/>
        <v>0.214252739176911</v>
      </c>
      <c r="L10" s="165">
        <f t="shared" si="2"/>
        <v>0.0196759988412614</v>
      </c>
      <c r="M10" s="165">
        <f t="shared" si="2"/>
        <v>0.0588337975167468</v>
      </c>
      <c r="N10" s="166">
        <f t="shared" si="2"/>
        <v>0.0378820443579015</v>
      </c>
      <c r="O10" s="166">
        <f t="shared" si="2"/>
        <v>0.0594609019632488</v>
      </c>
      <c r="P10" s="166">
        <f t="shared" si="2"/>
        <v>0.05689097792187</v>
      </c>
      <c r="Q10" s="166">
        <f t="shared" si="2"/>
        <v>0.0557900458171388</v>
      </c>
      <c r="R10" s="166">
        <f t="shared" si="2"/>
        <v>0.0523230302364512</v>
      </c>
      <c r="S10" s="166">
        <f t="shared" si="2"/>
        <v>0.0511188249525889</v>
      </c>
      <c r="U10" s="127" t="s">
        <v>329</v>
      </c>
      <c r="V10" s="176">
        <f>AVERAGE(V7:V8)</f>
        <v>0.0378529965226501</v>
      </c>
      <c r="X10" s="2" t="s">
        <v>330</v>
      </c>
      <c r="Y10" s="16">
        <f>(2.71*235)/N18</f>
        <v>0.0538314165201563</v>
      </c>
      <c r="AA10" s="8" t="s">
        <v>95</v>
      </c>
      <c r="AB10" s="179">
        <v>8.5</v>
      </c>
      <c r="AC10" s="180">
        <v>0.2</v>
      </c>
      <c r="AD10" s="179">
        <f>8.5/20</f>
        <v>0.425</v>
      </c>
    </row>
    <row r="11" ht="18.5" spans="2:25">
      <c r="B11" s="2" t="s">
        <v>331</v>
      </c>
      <c r="C11" s="2"/>
      <c r="E11" s="159"/>
      <c r="F11" s="160"/>
      <c r="G11" s="161">
        <f>(G10-F10)*10000</f>
        <v>411.725792945534</v>
      </c>
      <c r="H11" s="161">
        <f t="shared" ref="H11:N11" si="3">(H10-G10)*10000</f>
        <v>80.1632249102702</v>
      </c>
      <c r="I11" s="161">
        <f t="shared" si="3"/>
        <v>-392.15357169897</v>
      </c>
      <c r="J11" s="161">
        <f t="shared" si="3"/>
        <v>-1781.09458380441</v>
      </c>
      <c r="K11" s="161">
        <f t="shared" si="3"/>
        <v>3452.78425530478</v>
      </c>
      <c r="L11" s="161">
        <f t="shared" si="3"/>
        <v>-1945.76740335649</v>
      </c>
      <c r="M11" s="161">
        <f t="shared" si="3"/>
        <v>391.577986754854</v>
      </c>
      <c r="N11" s="167">
        <f t="shared" si="3"/>
        <v>-209.517531588452</v>
      </c>
      <c r="O11" s="167">
        <f t="shared" ref="O11" si="4">(O10-N10)*10000</f>
        <v>215.788576053473</v>
      </c>
      <c r="P11" s="167">
        <f t="shared" ref="P11" si="5">(P10-O10)*10000</f>
        <v>-25.6992404137879</v>
      </c>
      <c r="Q11" s="167">
        <f t="shared" ref="Q11" si="6">(Q10-P10)*10000</f>
        <v>-11.0093210473128</v>
      </c>
      <c r="R11" s="167">
        <f t="shared" ref="R11" si="7">(R10-Q10)*10000</f>
        <v>-34.6701558068752</v>
      </c>
      <c r="S11" s="167">
        <f t="shared" ref="S11" si="8">(S10-R10)*10000</f>
        <v>-12.0420528386234</v>
      </c>
      <c r="X11" s="8" t="s">
        <v>332</v>
      </c>
      <c r="Y11" s="16">
        <f>Y7+Y8+Y10</f>
        <v>0.149358053127934</v>
      </c>
    </row>
    <row r="12" ht="18.5" spans="2:25">
      <c r="B12" s="2" t="s">
        <v>149</v>
      </c>
      <c r="C12" s="2"/>
      <c r="D12" s="159"/>
      <c r="E12" s="159"/>
      <c r="F12" s="159"/>
      <c r="G12" s="159"/>
      <c r="H12" s="159"/>
      <c r="I12" s="159"/>
      <c r="J12" s="159"/>
      <c r="K12" s="159"/>
      <c r="L12" s="159"/>
      <c r="M12" s="168"/>
      <c r="N12" s="168"/>
      <c r="O12" s="168"/>
      <c r="P12" s="168"/>
      <c r="Q12" s="168"/>
      <c r="R12" s="168"/>
      <c r="S12" s="2"/>
      <c r="X12" s="2" t="s">
        <v>333</v>
      </c>
      <c r="Y12" s="16">
        <f>Y21</f>
        <v>0.10742692412967</v>
      </c>
    </row>
    <row r="13" ht="18.5" spans="2:25">
      <c r="B13" s="2"/>
      <c r="C13" s="2"/>
      <c r="D13" s="2"/>
      <c r="E13" s="2"/>
      <c r="F13" s="2"/>
      <c r="G13" s="2"/>
      <c r="H13" s="2"/>
      <c r="I13" s="2"/>
      <c r="J13" s="2"/>
      <c r="K13" s="2"/>
      <c r="L13" s="2"/>
      <c r="M13" s="2"/>
      <c r="N13" s="2"/>
      <c r="O13" s="2"/>
      <c r="P13" s="2"/>
      <c r="Q13" s="2"/>
      <c r="R13" s="2"/>
      <c r="S13" s="2"/>
      <c r="X13" s="8" t="s">
        <v>334</v>
      </c>
      <c r="Y13" s="16">
        <f>Y11+Y12</f>
        <v>0.256784977257604</v>
      </c>
    </row>
    <row r="14" ht="18.5" spans="2:25">
      <c r="B14" s="2"/>
      <c r="C14" s="2"/>
      <c r="D14" s="2"/>
      <c r="E14" s="2"/>
      <c r="F14" s="2"/>
      <c r="G14" s="2"/>
      <c r="H14" s="2"/>
      <c r="I14" s="2"/>
      <c r="J14" s="2"/>
      <c r="K14" s="2"/>
      <c r="L14" s="2"/>
      <c r="M14" s="2"/>
      <c r="N14" s="2"/>
      <c r="O14" s="2"/>
      <c r="P14" s="2"/>
      <c r="Q14" s="2"/>
      <c r="R14" s="2"/>
      <c r="S14" s="2"/>
      <c r="X14" s="8" t="s">
        <v>335</v>
      </c>
      <c r="Y14" s="16">
        <v>0.1</v>
      </c>
    </row>
    <row r="15" ht="18.5" spans="2:25">
      <c r="B15" s="2"/>
      <c r="C15" s="2"/>
      <c r="D15" s="2"/>
      <c r="E15" s="2"/>
      <c r="F15" s="2"/>
      <c r="G15" s="2"/>
      <c r="H15" s="2"/>
      <c r="I15" s="2"/>
      <c r="J15" s="2"/>
      <c r="K15" s="2"/>
      <c r="L15" s="2"/>
      <c r="M15" s="2"/>
      <c r="N15" s="2"/>
      <c r="O15" s="2"/>
      <c r="P15" s="2"/>
      <c r="Q15" s="2"/>
      <c r="R15" s="2"/>
      <c r="S15" s="2"/>
      <c r="X15" s="127" t="s">
        <v>336</v>
      </c>
      <c r="Y15" s="181" t="s">
        <v>337</v>
      </c>
    </row>
    <row r="16" ht="26" spans="2:19">
      <c r="B16" s="107" t="s">
        <v>338</v>
      </c>
      <c r="C16" s="156"/>
      <c r="D16" s="119"/>
      <c r="E16" s="119"/>
      <c r="F16" s="119"/>
      <c r="G16" s="119"/>
      <c r="H16" s="119"/>
      <c r="I16" s="119"/>
      <c r="J16" s="119"/>
      <c r="K16" s="119"/>
      <c r="L16" s="119"/>
      <c r="M16" s="119"/>
      <c r="N16" s="119"/>
      <c r="O16" s="119"/>
      <c r="P16" s="119"/>
      <c r="Q16" s="119"/>
      <c r="R16" s="119"/>
      <c r="S16" s="140"/>
    </row>
    <row r="17" s="2" customFormat="1" ht="18.5" spans="2:25">
      <c r="B17" s="141"/>
      <c r="C17" s="157"/>
      <c r="D17" s="158"/>
      <c r="E17" s="158"/>
      <c r="F17" s="158"/>
      <c r="G17" s="158"/>
      <c r="H17" s="158"/>
      <c r="I17" s="158"/>
      <c r="J17" s="158"/>
      <c r="K17" s="158"/>
      <c r="L17" s="158"/>
      <c r="M17" s="158"/>
      <c r="N17" s="158"/>
      <c r="O17" s="158"/>
      <c r="P17" s="158"/>
      <c r="Q17" s="158"/>
      <c r="R17" s="158"/>
      <c r="X17" s="2" t="s">
        <v>339</v>
      </c>
      <c r="Y17" s="117">
        <f>878+520</f>
        <v>1398</v>
      </c>
    </row>
    <row r="18" ht="18.5" spans="2:25">
      <c r="B18" s="8" t="s">
        <v>340</v>
      </c>
      <c r="C18" s="8"/>
      <c r="D18" s="162">
        <v>1522.253</v>
      </c>
      <c r="E18" s="162">
        <v>1821.652</v>
      </c>
      <c r="F18" s="162">
        <f>CASES!E25</f>
        <v>2378.7</v>
      </c>
      <c r="G18" s="162">
        <f>CASES!F25</f>
        <v>3161.4</v>
      </c>
      <c r="H18" s="162">
        <f>CASES!G25</f>
        <v>4717.8</v>
      </c>
      <c r="I18" s="162">
        <f>CASES!H25</f>
        <v>6110.8</v>
      </c>
      <c r="J18" s="162">
        <f>CASES!I25</f>
        <v>6167.3</v>
      </c>
      <c r="K18" s="162">
        <f>CASES!J25</f>
        <v>8563</v>
      </c>
      <c r="L18" s="162">
        <f>CASES!K25</f>
        <v>10125</v>
      </c>
      <c r="M18" s="162">
        <f>CASES!L25</f>
        <v>10542</v>
      </c>
      <c r="N18" s="162">
        <f>CASES!M25</f>
        <v>11830.4522</v>
      </c>
      <c r="O18" s="162">
        <f>CASES!N25</f>
        <v>12721.0452755</v>
      </c>
      <c r="P18" s="162">
        <f>CASES!O25</f>
        <v>13282.548695914</v>
      </c>
      <c r="Q18" s="162">
        <f>CASES!P25</f>
        <v>13884.3171840358</v>
      </c>
      <c r="R18" s="162">
        <f>CASES!Q25</f>
        <v>14528.624064584</v>
      </c>
      <c r="S18" s="162">
        <f>CASES!R25</f>
        <v>0</v>
      </c>
      <c r="X18" s="2" t="s">
        <v>341</v>
      </c>
      <c r="Y18" s="146">
        <v>1.1</v>
      </c>
    </row>
    <row r="19" ht="18.5" spans="2:25">
      <c r="B19" s="2" t="s">
        <v>18</v>
      </c>
      <c r="C19" s="8"/>
      <c r="D19" s="109"/>
      <c r="E19" s="16">
        <f>E18/D18-1</f>
        <v>0.196681497753659</v>
      </c>
      <c r="F19" s="16">
        <f t="shared" ref="F19:S19" si="9">F18/E18-1</f>
        <v>0.305792763930762</v>
      </c>
      <c r="G19" s="16">
        <f t="shared" si="9"/>
        <v>0.329045276831883</v>
      </c>
      <c r="H19" s="16">
        <f t="shared" si="9"/>
        <v>0.492313531979503</v>
      </c>
      <c r="I19" s="16">
        <f t="shared" si="9"/>
        <v>0.295264742040782</v>
      </c>
      <c r="J19" s="16">
        <f t="shared" si="9"/>
        <v>0.00924592524710355</v>
      </c>
      <c r="K19" s="16">
        <f t="shared" si="9"/>
        <v>0.388451996821948</v>
      </c>
      <c r="L19" s="16">
        <f t="shared" si="9"/>
        <v>0.182412705827397</v>
      </c>
      <c r="M19" s="16">
        <f t="shared" si="9"/>
        <v>0.0411851851851854</v>
      </c>
      <c r="N19" s="46">
        <f t="shared" si="9"/>
        <v>0.122220849933599</v>
      </c>
      <c r="O19" s="46">
        <f t="shared" si="9"/>
        <v>0.0752797154702167</v>
      </c>
      <c r="P19" s="46">
        <f t="shared" si="9"/>
        <v>0.0441397234467338</v>
      </c>
      <c r="Q19" s="46">
        <f t="shared" si="9"/>
        <v>0.0453051972101572</v>
      </c>
      <c r="R19" s="46">
        <f t="shared" si="9"/>
        <v>0.0464053703187477</v>
      </c>
      <c r="S19" s="46">
        <f t="shared" si="9"/>
        <v>-1</v>
      </c>
      <c r="X19" s="8" t="s">
        <v>342</v>
      </c>
      <c r="Y19" s="117">
        <f>Y17/Y18</f>
        <v>1270.90909090909</v>
      </c>
    </row>
    <row r="20" ht="18.5" spans="2:25">
      <c r="B20" s="2" t="s">
        <v>331</v>
      </c>
      <c r="C20" s="8"/>
      <c r="D20" s="109"/>
      <c r="E20" s="109"/>
      <c r="F20" s="161">
        <f>(F19-E19)*10000</f>
        <v>1091.11266177103</v>
      </c>
      <c r="G20" s="161">
        <f t="shared" ref="G20:S20" si="10">(G19-F19)*10000</f>
        <v>232.525129011214</v>
      </c>
      <c r="H20" s="161">
        <f t="shared" si="10"/>
        <v>1632.6825514762</v>
      </c>
      <c r="I20" s="161">
        <f t="shared" si="10"/>
        <v>-1970.48789938721</v>
      </c>
      <c r="J20" s="161">
        <f t="shared" si="10"/>
        <v>-2860.18816793678</v>
      </c>
      <c r="K20" s="161">
        <f t="shared" si="10"/>
        <v>3792.06071574844</v>
      </c>
      <c r="L20" s="161">
        <f t="shared" si="10"/>
        <v>-2060.39290994551</v>
      </c>
      <c r="M20" s="161">
        <f t="shared" si="10"/>
        <v>-1412.27520642212</v>
      </c>
      <c r="N20" s="167">
        <f t="shared" si="10"/>
        <v>810.356647484134</v>
      </c>
      <c r="O20" s="167">
        <f t="shared" si="10"/>
        <v>-469.411344633821</v>
      </c>
      <c r="P20" s="167">
        <f t="shared" si="10"/>
        <v>-311.399920234829</v>
      </c>
      <c r="Q20" s="167">
        <f t="shared" si="10"/>
        <v>11.6547376342346</v>
      </c>
      <c r="R20" s="167">
        <f t="shared" si="10"/>
        <v>11.0017310859045</v>
      </c>
      <c r="S20" s="167">
        <f t="shared" si="10"/>
        <v>-10464.0537031875</v>
      </c>
      <c r="X20" s="2" t="s">
        <v>343</v>
      </c>
      <c r="Y20" s="110">
        <f>N18</f>
        <v>11830.4522</v>
      </c>
    </row>
    <row r="21" ht="18.5" spans="2:25">
      <c r="B21" s="2"/>
      <c r="C21" s="2"/>
      <c r="D21" s="110"/>
      <c r="E21" s="110"/>
      <c r="F21" s="110"/>
      <c r="G21" s="110"/>
      <c r="H21" s="65"/>
      <c r="I21" s="65"/>
      <c r="J21" s="65"/>
      <c r="K21" s="65"/>
      <c r="L21" s="65"/>
      <c r="M21" s="65"/>
      <c r="N21" s="2"/>
      <c r="O21" s="65"/>
      <c r="P21" s="110"/>
      <c r="Q21" s="65"/>
      <c r="R21" s="2"/>
      <c r="S21" s="2"/>
      <c r="X21" s="177" t="s">
        <v>344</v>
      </c>
      <c r="Y21" s="176">
        <f>Y19/Y20</f>
        <v>0.10742692412967</v>
      </c>
    </row>
    <row r="22" ht="18.5" spans="2:19">
      <c r="B22" s="8" t="s">
        <v>345</v>
      </c>
      <c r="C22" s="2"/>
      <c r="D22" s="110"/>
      <c r="E22" s="97">
        <f>E19-E10</f>
        <v>0.222241430831537</v>
      </c>
      <c r="F22" s="97">
        <f t="shared" ref="F22:S22" si="11">F19-F10</f>
        <v>0.268682536519572</v>
      </c>
      <c r="G22" s="97">
        <f t="shared" si="11"/>
        <v>0.25076247012614</v>
      </c>
      <c r="H22" s="97">
        <f t="shared" si="11"/>
        <v>0.406014402782732</v>
      </c>
      <c r="I22" s="169">
        <f t="shared" si="11"/>
        <v>0.248180970013908</v>
      </c>
      <c r="J22" s="169">
        <f t="shared" si="11"/>
        <v>0.140271611600671</v>
      </c>
      <c r="K22" s="97">
        <f t="shared" si="11"/>
        <v>0.174199257645037</v>
      </c>
      <c r="L22" s="169">
        <f t="shared" si="11"/>
        <v>0.162736706986136</v>
      </c>
      <c r="M22" s="169">
        <f t="shared" si="11"/>
        <v>-0.0176486123315613</v>
      </c>
      <c r="N22" s="170">
        <f t="shared" si="11"/>
        <v>0.0843388055756973</v>
      </c>
      <c r="O22" s="170">
        <f t="shared" si="11"/>
        <v>0.0158188135069679</v>
      </c>
      <c r="P22" s="170">
        <f t="shared" si="11"/>
        <v>-0.0127512544751363</v>
      </c>
      <c r="Q22" s="170">
        <f t="shared" si="11"/>
        <v>-0.0104848486069815</v>
      </c>
      <c r="R22" s="170">
        <f t="shared" si="11"/>
        <v>-0.00591765991770354</v>
      </c>
      <c r="S22" s="170">
        <f t="shared" si="11"/>
        <v>-1.05111882495259</v>
      </c>
    </row>
    <row r="23" ht="18.5" spans="2:19">
      <c r="B23" s="2"/>
      <c r="C23" s="2"/>
      <c r="D23" s="110"/>
      <c r="E23" s="110"/>
      <c r="F23" s="110"/>
      <c r="G23" s="110"/>
      <c r="H23" s="65"/>
      <c r="I23" s="65"/>
      <c r="J23" s="65"/>
      <c r="K23" s="65"/>
      <c r="L23" s="65"/>
      <c r="M23" s="65"/>
      <c r="N23" s="2"/>
      <c r="O23" s="65"/>
      <c r="P23" s="110"/>
      <c r="Q23" s="65"/>
      <c r="R23" s="2"/>
      <c r="S23" s="2"/>
    </row>
    <row r="24" ht="18.5" spans="2:19">
      <c r="B24" s="2"/>
      <c r="C24" s="2"/>
      <c r="D24" s="110"/>
      <c r="E24" s="110"/>
      <c r="F24" s="110"/>
      <c r="G24" s="110"/>
      <c r="H24" s="65"/>
      <c r="I24" s="65"/>
      <c r="J24" s="65"/>
      <c r="K24" s="65"/>
      <c r="L24" s="65"/>
      <c r="M24" s="65"/>
      <c r="N24" s="2"/>
      <c r="O24" s="65"/>
      <c r="P24" s="110"/>
      <c r="Q24" s="65"/>
      <c r="R24" s="2"/>
      <c r="S24" s="2"/>
    </row>
    <row r="25" ht="18.5" spans="2:19">
      <c r="B25" s="8" t="s">
        <v>346</v>
      </c>
      <c r="C25" s="8"/>
      <c r="D25" s="97">
        <f>D18/D8</f>
        <v>0.00711300105439023</v>
      </c>
      <c r="E25" s="97">
        <f t="shared" ref="E25:S25" si="12">E18/E8</f>
        <v>0.00873526966330227</v>
      </c>
      <c r="F25" s="97">
        <f t="shared" si="12"/>
        <v>0.0109983024136176</v>
      </c>
      <c r="G25" s="97">
        <f t="shared" si="12"/>
        <v>0.0135560372335383</v>
      </c>
      <c r="H25" s="97">
        <f t="shared" si="12"/>
        <v>0.0186227322289998</v>
      </c>
      <c r="I25" s="97">
        <f t="shared" si="12"/>
        <v>0.0230367131084435</v>
      </c>
      <c r="J25" s="97">
        <f t="shared" si="12"/>
        <v>0.0267553464707393</v>
      </c>
      <c r="K25" s="97">
        <f t="shared" si="12"/>
        <v>0.030593724876538</v>
      </c>
      <c r="L25" s="97">
        <f t="shared" si="12"/>
        <v>0.0354763758818626</v>
      </c>
      <c r="M25" s="97">
        <f t="shared" si="12"/>
        <v>0.0348850566338973</v>
      </c>
      <c r="N25" s="170">
        <f t="shared" si="12"/>
        <v>0.0377198334998597</v>
      </c>
      <c r="O25" s="170">
        <f t="shared" si="12"/>
        <v>0.0382830284328133</v>
      </c>
      <c r="P25" s="170">
        <f t="shared" si="12"/>
        <v>0.0378211485910669</v>
      </c>
      <c r="Q25" s="170">
        <f t="shared" si="12"/>
        <v>0.0374455540126841</v>
      </c>
      <c r="R25" s="170">
        <f t="shared" si="12"/>
        <v>0.0372349817380972</v>
      </c>
      <c r="S25" s="170">
        <f t="shared" si="12"/>
        <v>0</v>
      </c>
    </row>
    <row r="26" ht="18.5" spans="2:19">
      <c r="B26" s="2" t="s">
        <v>347</v>
      </c>
      <c r="C26" s="2"/>
      <c r="D26" s="16"/>
      <c r="E26" s="110">
        <f>(E25-D25)*10000</f>
        <v>16.2226860891205</v>
      </c>
      <c r="F26" s="110">
        <f t="shared" ref="F26:M26" si="13">(F25-E25)*10000</f>
        <v>22.6303275031535</v>
      </c>
      <c r="G26" s="110">
        <f t="shared" si="13"/>
        <v>25.5773481992064</v>
      </c>
      <c r="H26" s="110">
        <f t="shared" si="13"/>
        <v>50.6669499546155</v>
      </c>
      <c r="I26" s="110">
        <f t="shared" si="13"/>
        <v>44.1398087944373</v>
      </c>
      <c r="J26" s="110">
        <f t="shared" si="13"/>
        <v>37.1863336229576</v>
      </c>
      <c r="K26" s="110">
        <f t="shared" si="13"/>
        <v>38.3837840579868</v>
      </c>
      <c r="L26" s="110">
        <f t="shared" si="13"/>
        <v>48.8265100532456</v>
      </c>
      <c r="M26" s="110">
        <f t="shared" si="13"/>
        <v>-5.91319247965211</v>
      </c>
      <c r="N26" s="171">
        <f t="shared" ref="N26" si="14">(N25-M25)*10000</f>
        <v>28.3477686596232</v>
      </c>
      <c r="O26" s="171">
        <f t="shared" ref="O26" si="15">(O25-N25)*10000</f>
        <v>5.63194932953606</v>
      </c>
      <c r="P26" s="171">
        <f t="shared" ref="P26" si="16">(P25-O25)*10000</f>
        <v>-4.61879841746331</v>
      </c>
      <c r="Q26" s="171">
        <f t="shared" ref="Q26" si="17">(Q25-P25)*10000</f>
        <v>-3.75594578382835</v>
      </c>
      <c r="R26" s="171">
        <f t="shared" ref="R26:S26" si="18">(R25-Q25)*10000</f>
        <v>-2.10572274586901</v>
      </c>
      <c r="S26" s="171">
        <f t="shared" si="18"/>
        <v>-372.349817380972</v>
      </c>
    </row>
    <row r="27" ht="18.5" spans="2:19">
      <c r="B27" s="2"/>
      <c r="C27" s="2"/>
      <c r="D27" s="2"/>
      <c r="E27" s="2"/>
      <c r="F27" s="2"/>
      <c r="G27" s="2"/>
      <c r="H27" s="2"/>
      <c r="I27" s="2"/>
      <c r="J27" s="2"/>
      <c r="K27" s="2"/>
      <c r="L27" s="2"/>
      <c r="M27" s="2"/>
      <c r="N27" s="2"/>
      <c r="O27" s="2"/>
      <c r="P27" s="2"/>
      <c r="Q27" s="2"/>
      <c r="R27" s="2"/>
      <c r="S27" s="2"/>
    </row>
    <row r="28" ht="18.5" spans="2:19">
      <c r="B28" s="8" t="s">
        <v>348</v>
      </c>
      <c r="C28" s="8"/>
      <c r="E28" s="97">
        <f>E25-D25</f>
        <v>0.00162226860891205</v>
      </c>
      <c r="F28" s="97">
        <f t="shared" ref="F28:S28" si="19">F25-E25</f>
        <v>0.00226303275031535</v>
      </c>
      <c r="G28" s="97">
        <f t="shared" si="19"/>
        <v>0.00255773481992064</v>
      </c>
      <c r="H28" s="97">
        <f t="shared" si="19"/>
        <v>0.00506669499546155</v>
      </c>
      <c r="I28" s="97">
        <f t="shared" si="19"/>
        <v>0.00441398087944373</v>
      </c>
      <c r="J28" s="97">
        <f t="shared" si="19"/>
        <v>0.00371863336229576</v>
      </c>
      <c r="K28" s="97">
        <f t="shared" si="19"/>
        <v>0.00383837840579868</v>
      </c>
      <c r="L28" s="97">
        <f t="shared" si="19"/>
        <v>0.00488265100532456</v>
      </c>
      <c r="M28" s="97">
        <f t="shared" si="19"/>
        <v>-0.000591319247965211</v>
      </c>
      <c r="N28" s="170">
        <f t="shared" si="19"/>
        <v>0.00283477686596232</v>
      </c>
      <c r="O28" s="170">
        <f t="shared" si="19"/>
        <v>0.000563194932953606</v>
      </c>
      <c r="P28" s="170">
        <f t="shared" si="19"/>
        <v>-0.000461879841746331</v>
      </c>
      <c r="Q28" s="170">
        <f t="shared" si="19"/>
        <v>-0.000375594578382835</v>
      </c>
      <c r="R28" s="170">
        <f t="shared" si="19"/>
        <v>-0.000210572274586901</v>
      </c>
      <c r="S28" s="170">
        <f t="shared" si="19"/>
        <v>-0.0372349817380972</v>
      </c>
    </row>
    <row r="29" ht="18.5" spans="2:19">
      <c r="B29" s="2"/>
      <c r="C29" s="2"/>
      <c r="D29" s="2"/>
      <c r="E29" s="2"/>
      <c r="F29" s="2"/>
      <c r="G29" s="2"/>
      <c r="H29" s="2"/>
      <c r="I29" s="2"/>
      <c r="J29" s="2"/>
      <c r="K29" s="2"/>
      <c r="L29" s="2"/>
      <c r="M29" s="2"/>
      <c r="N29" s="36"/>
      <c r="O29" s="36"/>
      <c r="P29" s="36"/>
      <c r="Q29" s="36"/>
      <c r="R29" s="36"/>
      <c r="S29" s="36"/>
    </row>
    <row r="30" s="151" customFormat="1" ht="18.5" spans="2:19">
      <c r="B30" s="8" t="s">
        <v>349</v>
      </c>
      <c r="C30" s="8"/>
      <c r="E30" s="109">
        <f>E28*E8</f>
        <v>338.307684807599</v>
      </c>
      <c r="F30" s="109">
        <f t="shared" ref="F30:S30" si="20">F28*F8</f>
        <v>489.446080015951</v>
      </c>
      <c r="G30" s="109">
        <f t="shared" si="20"/>
        <v>596.488687689048</v>
      </c>
      <c r="H30" s="109">
        <f t="shared" si="20"/>
        <v>1283.57393295733</v>
      </c>
      <c r="I30" s="109">
        <f t="shared" si="20"/>
        <v>1170.86818033162</v>
      </c>
      <c r="J30" s="109">
        <f t="shared" si="20"/>
        <v>857.171764169382</v>
      </c>
      <c r="K30" s="109">
        <f t="shared" si="20"/>
        <v>1074.33908167424</v>
      </c>
      <c r="L30" s="109">
        <f t="shared" si="20"/>
        <v>1393.51442192228</v>
      </c>
      <c r="M30" s="109">
        <f t="shared" si="20"/>
        <v>-178.69219985706</v>
      </c>
      <c r="N30" s="163">
        <f t="shared" si="20"/>
        <v>889.099688379001</v>
      </c>
      <c r="O30" s="163">
        <f t="shared" si="20"/>
        <v>187.143717054898</v>
      </c>
      <c r="P30" s="163">
        <f t="shared" si="20"/>
        <v>-162.20928549763</v>
      </c>
      <c r="Q30" s="163">
        <f t="shared" si="20"/>
        <v>-139.265512191515</v>
      </c>
      <c r="R30" s="163">
        <f t="shared" si="20"/>
        <v>-82.1626672846537</v>
      </c>
      <c r="S30" s="163">
        <f t="shared" si="20"/>
        <v>-15271.3102549434</v>
      </c>
    </row>
    <row r="31" ht="18.5" spans="2:19">
      <c r="B31" s="2" t="s">
        <v>350</v>
      </c>
      <c r="E31" s="16">
        <f>E30/E18</f>
        <v>0.185714771431426</v>
      </c>
      <c r="F31" s="16">
        <f t="shared" ref="F31:S31" si="21">F30/F18</f>
        <v>0.205762004462921</v>
      </c>
      <c r="G31" s="16">
        <f t="shared" si="21"/>
        <v>0.188678651132109</v>
      </c>
      <c r="H31" s="16">
        <f t="shared" si="21"/>
        <v>0.272070442358161</v>
      </c>
      <c r="I31" s="16">
        <f t="shared" si="21"/>
        <v>0.191606365832889</v>
      </c>
      <c r="J31" s="16">
        <f t="shared" si="21"/>
        <v>0.138986552327499</v>
      </c>
      <c r="K31" s="16">
        <f t="shared" si="21"/>
        <v>0.125462931411215</v>
      </c>
      <c r="L31" s="16">
        <f t="shared" si="21"/>
        <v>0.137631054017015</v>
      </c>
      <c r="M31" s="16">
        <f t="shared" si="21"/>
        <v>-0.0169505027373421</v>
      </c>
      <c r="N31" s="46">
        <f t="shared" si="21"/>
        <v>0.0751534830070994</v>
      </c>
      <c r="O31" s="46">
        <f t="shared" si="21"/>
        <v>0.0147113474562759</v>
      </c>
      <c r="P31" s="46">
        <f t="shared" si="21"/>
        <v>-0.0122122108648869</v>
      </c>
      <c r="Q31" s="46">
        <f t="shared" si="21"/>
        <v>-0.0100304185179263</v>
      </c>
      <c r="R31" s="46">
        <f t="shared" si="21"/>
        <v>-0.00565522701388766</v>
      </c>
      <c r="S31" s="46" t="e">
        <f t="shared" si="21"/>
        <v>#DIV/0!</v>
      </c>
    </row>
    <row r="32" spans="14:19">
      <c r="N32" s="172"/>
      <c r="O32" s="172"/>
      <c r="P32" s="172"/>
      <c r="Q32" s="172"/>
      <c r="R32" s="172"/>
      <c r="S32" s="172"/>
    </row>
    <row r="33" ht="18.5" spans="2:19">
      <c r="B33" s="2" t="s">
        <v>65</v>
      </c>
      <c r="C33" s="2"/>
      <c r="D33" s="99">
        <v>0.358367361835472</v>
      </c>
      <c r="E33" s="99">
        <v>0.501597772366244</v>
      </c>
      <c r="F33" s="99">
        <v>0.183820288244186</v>
      </c>
      <c r="G33" s="99">
        <v>0.238277947701659</v>
      </c>
      <c r="H33" s="99">
        <v>0.269000287659742</v>
      </c>
      <c r="I33" s="99">
        <v>0.252868490424227</v>
      </c>
      <c r="J33" s="99">
        <v>0.0460937849672118</v>
      </c>
      <c r="K33" s="99">
        <v>0.0716731816060417</v>
      </c>
      <c r="L33" s="99">
        <v>0.0365028743812353</v>
      </c>
      <c r="M33" s="99">
        <v>0.103952515717876</v>
      </c>
      <c r="N33" s="173">
        <v>0.133756550460654</v>
      </c>
      <c r="O33" s="173">
        <v>0.176259186154058</v>
      </c>
      <c r="P33" s="173">
        <v>0.177146332842421</v>
      </c>
      <c r="Q33" s="173">
        <v>0.196282811998312</v>
      </c>
      <c r="R33" s="173">
        <v>0.215851403183321</v>
      </c>
      <c r="S33" s="173">
        <v>0.235508534863244</v>
      </c>
    </row>
    <row r="34" ht="18.5" spans="2:19">
      <c r="B34" s="2" t="s">
        <v>18</v>
      </c>
      <c r="C34" s="2"/>
      <c r="D34" s="2"/>
      <c r="E34" s="16">
        <f>E33/D33-1</f>
        <v>0.399674819149769</v>
      </c>
      <c r="F34" s="16">
        <f t="shared" ref="F34:S34" si="22">F33/E33-1</f>
        <v>-0.633530493213657</v>
      </c>
      <c r="G34" s="16">
        <f t="shared" si="22"/>
        <v>0.296254891000559</v>
      </c>
      <c r="H34" s="16">
        <f t="shared" si="22"/>
        <v>0.128934885726606</v>
      </c>
      <c r="I34" s="16">
        <f t="shared" si="22"/>
        <v>-0.0599694423223835</v>
      </c>
      <c r="J34" s="16">
        <f t="shared" si="22"/>
        <v>-0.817716375457131</v>
      </c>
      <c r="K34" s="16">
        <f t="shared" si="22"/>
        <v>0.55494242134868</v>
      </c>
      <c r="L34" s="16">
        <f t="shared" si="22"/>
        <v>-0.49070386491454</v>
      </c>
      <c r="M34" s="16">
        <f t="shared" si="22"/>
        <v>1.84778986531851</v>
      </c>
      <c r="N34" s="46">
        <f t="shared" si="22"/>
        <v>0.286708162250394</v>
      </c>
      <c r="O34" s="46">
        <f t="shared" si="22"/>
        <v>0.317761152982986</v>
      </c>
      <c r="P34" s="46">
        <f t="shared" si="22"/>
        <v>0.00503319405768132</v>
      </c>
      <c r="Q34" s="46">
        <f t="shared" si="22"/>
        <v>0.108026391790529</v>
      </c>
      <c r="R34" s="46">
        <f t="shared" si="22"/>
        <v>0.0996958979025526</v>
      </c>
      <c r="S34" s="46">
        <f t="shared" si="22"/>
        <v>0.0910678892517021</v>
      </c>
    </row>
    <row r="35" ht="18.5" spans="2:19">
      <c r="B35" s="2" t="s">
        <v>351</v>
      </c>
      <c r="C35" s="2"/>
      <c r="D35" s="2"/>
      <c r="E35" s="146">
        <f>E34/E19</f>
        <v>2.03209159841948</v>
      </c>
      <c r="F35" s="146">
        <f t="shared" ref="F35:S35" si="23">F34/F19</f>
        <v>-2.07176417476348</v>
      </c>
      <c r="G35" s="146">
        <f t="shared" si="23"/>
        <v>0.900346887981384</v>
      </c>
      <c r="H35" s="146">
        <f t="shared" si="23"/>
        <v>0.261895880066881</v>
      </c>
      <c r="I35" s="146">
        <f t="shared" si="23"/>
        <v>-0.203103973430396</v>
      </c>
      <c r="J35" s="146">
        <f t="shared" si="23"/>
        <v>-88.4407296839541</v>
      </c>
      <c r="K35" s="146">
        <f t="shared" si="23"/>
        <v>1.4285997391926</v>
      </c>
      <c r="L35" s="146">
        <f t="shared" si="23"/>
        <v>-2.69007502897772</v>
      </c>
      <c r="M35" s="146">
        <f t="shared" si="23"/>
        <v>44.8654014061146</v>
      </c>
      <c r="N35" s="174">
        <f t="shared" si="23"/>
        <v>2.34582039321572</v>
      </c>
      <c r="O35" s="174">
        <f t="shared" si="23"/>
        <v>4.22107271524828</v>
      </c>
      <c r="P35" s="174">
        <f t="shared" si="23"/>
        <v>0.114028672240215</v>
      </c>
      <c r="Q35" s="174">
        <f t="shared" si="23"/>
        <v>2.38441499966168</v>
      </c>
      <c r="R35" s="174">
        <f t="shared" si="23"/>
        <v>2.14836983775293</v>
      </c>
      <c r="S35" s="174">
        <f t="shared" si="23"/>
        <v>-0.0910678892517021</v>
      </c>
    </row>
  </sheetData>
  <mergeCells count="3">
    <mergeCell ref="U6:V6"/>
    <mergeCell ref="X6:Y6"/>
    <mergeCell ref="AA6:AD6"/>
  </mergeCells>
  <pageMargins left="0.7" right="0.7" top="0.75" bottom="0.75" header="0.3" footer="0.3"/>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AO110"/>
  <sheetViews>
    <sheetView showGridLines="0" zoomScale="40" zoomScaleNormal="40" workbookViewId="0">
      <pane xSplit="2" ySplit="3" topLeftCell="F66" activePane="bottomRight" state="frozen"/>
      <selection/>
      <selection pane="topRight"/>
      <selection pane="bottomLeft"/>
      <selection pane="bottomRight" activeCell="G65" sqref="F65:G65"/>
    </sheetView>
  </sheetViews>
  <sheetFormatPr defaultColWidth="9.25384615384615" defaultRowHeight="18.5"/>
  <cols>
    <col min="1" max="1" width="3.5" style="2" customWidth="1"/>
    <col min="2" max="2" width="34.8769230769231" style="2" customWidth="1"/>
    <col min="3" max="3" width="2.62307692307692" style="2" customWidth="1"/>
    <col min="4" max="4" width="9.25384615384615" style="2" hidden="1" customWidth="1"/>
    <col min="5" max="19" width="9.25384615384615" style="2"/>
    <col min="20" max="20" width="8.62307692307692" style="2" customWidth="1"/>
    <col min="21" max="35" width="9.25384615384615" style="2"/>
    <col min="36" max="36" width="2.37692307692308" style="2" customWidth="1"/>
    <col min="37" max="37" width="30" style="2" customWidth="1"/>
    <col min="38" max="38" width="12.2538461538462" style="2" customWidth="1"/>
    <col min="39" max="39" width="2.12307692307692" style="2" customWidth="1"/>
    <col min="40" max="40" width="31.6230769230769" style="2" customWidth="1"/>
    <col min="41" max="41" width="11.1230769230769" style="2" customWidth="1"/>
    <col min="42" max="42" width="2.25384615384615" style="2" customWidth="1"/>
    <col min="43" max="43" width="23.8769230769231" style="2" customWidth="1"/>
    <col min="44" max="16384" width="9.25384615384615" style="2"/>
  </cols>
  <sheetData>
    <row r="3" ht="23.5" spans="2:35">
      <c r="B3" s="8" t="s">
        <v>352</v>
      </c>
      <c r="D3" s="94" t="s">
        <v>353</v>
      </c>
      <c r="E3" s="94" t="s">
        <v>354</v>
      </c>
      <c r="F3" s="94" t="s">
        <v>313</v>
      </c>
      <c r="G3" s="94" t="s">
        <v>314</v>
      </c>
      <c r="H3" s="94" t="s">
        <v>315</v>
      </c>
      <c r="I3" s="94" t="s">
        <v>6</v>
      </c>
      <c r="J3" s="94" t="s">
        <v>7</v>
      </c>
      <c r="K3" s="94" t="s">
        <v>8</v>
      </c>
      <c r="L3" s="94" t="s">
        <v>9</v>
      </c>
      <c r="M3" s="94" t="s">
        <v>10</v>
      </c>
      <c r="N3" s="94" t="s">
        <v>11</v>
      </c>
      <c r="O3" s="94" t="s">
        <v>12</v>
      </c>
      <c r="P3" s="94" t="s">
        <v>13</v>
      </c>
      <c r="Q3" s="94" t="s">
        <v>14</v>
      </c>
      <c r="R3" s="94" t="s">
        <v>15</v>
      </c>
      <c r="S3" s="94" t="s">
        <v>355</v>
      </c>
      <c r="T3" s="94" t="s">
        <v>356</v>
      </c>
      <c r="U3" s="94" t="s">
        <v>357</v>
      </c>
      <c r="V3" s="94" t="s">
        <v>358</v>
      </c>
      <c r="W3" s="94" t="s">
        <v>359</v>
      </c>
      <c r="X3" s="94" t="s">
        <v>360</v>
      </c>
      <c r="Y3" s="94" t="s">
        <v>361</v>
      </c>
      <c r="Z3" s="94" t="s">
        <v>362</v>
      </c>
      <c r="AA3" s="94" t="s">
        <v>363</v>
      </c>
      <c r="AB3" s="94" t="s">
        <v>364</v>
      </c>
      <c r="AC3" s="94" t="s">
        <v>365</v>
      </c>
      <c r="AD3" s="94" t="s">
        <v>366</v>
      </c>
      <c r="AE3" s="94" t="s">
        <v>367</v>
      </c>
      <c r="AF3" s="94" t="s">
        <v>368</v>
      </c>
      <c r="AG3" s="94" t="s">
        <v>369</v>
      </c>
      <c r="AH3" s="94" t="s">
        <v>370</v>
      </c>
      <c r="AI3" s="94" t="s">
        <v>371</v>
      </c>
    </row>
    <row r="5" ht="26" spans="2:38">
      <c r="B5" s="107" t="s">
        <v>372</v>
      </c>
      <c r="C5" s="107"/>
      <c r="D5" s="140"/>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K5" s="104" t="s">
        <v>17</v>
      </c>
      <c r="AL5" s="104"/>
    </row>
    <row r="6" spans="2:38">
      <c r="B6" s="141"/>
      <c r="C6" s="141"/>
      <c r="AK6" s="8" t="s">
        <v>23</v>
      </c>
      <c r="AL6" s="98">
        <v>0.679</v>
      </c>
    </row>
    <row r="7" spans="2:38">
      <c r="B7" s="8" t="s">
        <v>16</v>
      </c>
      <c r="C7" s="8"/>
      <c r="E7" s="142">
        <f>MOD!F172</f>
        <v>1821.652</v>
      </c>
      <c r="F7" s="142">
        <f>MOD!G172</f>
        <v>2378.7</v>
      </c>
      <c r="G7" s="142">
        <f>MOD!H172</f>
        <v>3161.4</v>
      </c>
      <c r="H7" s="142">
        <f>MOD!I172</f>
        <v>4717.8</v>
      </c>
      <c r="I7" s="142">
        <f>MOD!J172</f>
        <v>6110.8</v>
      </c>
      <c r="J7" s="142">
        <f>MOD!K172</f>
        <v>6167.3</v>
      </c>
      <c r="K7" s="142">
        <f>MOD!O172</f>
        <v>8563</v>
      </c>
      <c r="L7" s="142">
        <f>MOD!S172</f>
        <v>10125</v>
      </c>
      <c r="M7" s="142">
        <f>MOD!W172</f>
        <v>10542</v>
      </c>
      <c r="N7" s="142">
        <f>MOD!AA172</f>
        <v>11832.04352</v>
      </c>
      <c r="O7" s="142">
        <f>MOD!AB172</f>
        <v>12722.7997058</v>
      </c>
      <c r="P7" s="142">
        <f>O7*(1+P8)</f>
        <v>13104.483696974</v>
      </c>
      <c r="Q7" s="142">
        <f t="shared" ref="Q7:AI7" si="0">P7*(1+Q8)</f>
        <v>13497.6182078832</v>
      </c>
      <c r="R7" s="142">
        <f t="shared" si="0"/>
        <v>13902.5467541197</v>
      </c>
      <c r="S7" s="142">
        <f t="shared" si="0"/>
        <v>14319.6231567433</v>
      </c>
      <c r="T7" s="142">
        <f t="shared" si="0"/>
        <v>14749.2118514456</v>
      </c>
      <c r="U7" s="142">
        <f t="shared" si="0"/>
        <v>15191.688206989</v>
      </c>
      <c r="V7" s="142">
        <f t="shared" si="0"/>
        <v>15647.4388531987</v>
      </c>
      <c r="W7" s="142">
        <f t="shared" si="0"/>
        <v>16116.8620187946</v>
      </c>
      <c r="X7" s="142">
        <f t="shared" si="0"/>
        <v>16600.3678793585</v>
      </c>
      <c r="Y7" s="142">
        <f t="shared" si="0"/>
        <v>17098.3789157392</v>
      </c>
      <c r="Z7" s="142">
        <f t="shared" si="0"/>
        <v>17611.3302832114</v>
      </c>
      <c r="AA7" s="142">
        <f t="shared" si="0"/>
        <v>18139.6701917077</v>
      </c>
      <c r="AB7" s="142">
        <f t="shared" si="0"/>
        <v>18683.860297459</v>
      </c>
      <c r="AC7" s="142">
        <f t="shared" si="0"/>
        <v>19244.3761063827</v>
      </c>
      <c r="AD7" s="142">
        <f t="shared" si="0"/>
        <v>19821.7073895742</v>
      </c>
      <c r="AE7" s="142">
        <f t="shared" si="0"/>
        <v>20416.3586112614</v>
      </c>
      <c r="AF7" s="142">
        <f t="shared" si="0"/>
        <v>21028.8493695993</v>
      </c>
      <c r="AG7" s="142">
        <f t="shared" si="0"/>
        <v>21659.7148506873</v>
      </c>
      <c r="AH7" s="142">
        <f t="shared" si="0"/>
        <v>22309.5062962079</v>
      </c>
      <c r="AI7" s="142">
        <f t="shared" si="0"/>
        <v>22978.7914850941</v>
      </c>
      <c r="AK7" s="2" t="s">
        <v>36</v>
      </c>
      <c r="AL7" s="39">
        <f>MOD!W238</f>
        <v>5183.135745</v>
      </c>
    </row>
    <row r="8" spans="2:38">
      <c r="B8" s="2" t="s">
        <v>18</v>
      </c>
      <c r="F8" s="16">
        <f>F7/E7-1</f>
        <v>0.305792763930762</v>
      </c>
      <c r="G8" s="16">
        <f t="shared" ref="G8:O8" si="1">G7/F7-1</f>
        <v>0.329045276831883</v>
      </c>
      <c r="H8" s="16">
        <f t="shared" si="1"/>
        <v>0.492313531979503</v>
      </c>
      <c r="I8" s="16">
        <f t="shared" si="1"/>
        <v>0.295264742040782</v>
      </c>
      <c r="J8" s="16">
        <f t="shared" si="1"/>
        <v>0.00924592524710355</v>
      </c>
      <c r="K8" s="16">
        <f t="shared" si="1"/>
        <v>0.388451996821948</v>
      </c>
      <c r="L8" s="16">
        <f t="shared" si="1"/>
        <v>0.182412705827397</v>
      </c>
      <c r="M8" s="16">
        <f t="shared" si="1"/>
        <v>0.0411851851851852</v>
      </c>
      <c r="N8" s="16">
        <f t="shared" si="1"/>
        <v>0.122371800417378</v>
      </c>
      <c r="O8" s="16">
        <f t="shared" si="1"/>
        <v>0.0752833763917731</v>
      </c>
      <c r="P8" s="16">
        <v>0.03</v>
      </c>
      <c r="Q8" s="16">
        <v>0.03</v>
      </c>
      <c r="R8" s="16">
        <v>0.03</v>
      </c>
      <c r="S8" s="16">
        <v>0.03</v>
      </c>
      <c r="T8" s="16">
        <v>0.03</v>
      </c>
      <c r="U8" s="16">
        <v>0.03</v>
      </c>
      <c r="V8" s="16">
        <v>0.03</v>
      </c>
      <c r="W8" s="16">
        <v>0.03</v>
      </c>
      <c r="X8" s="16">
        <v>0.03</v>
      </c>
      <c r="Y8" s="16">
        <v>0.03</v>
      </c>
      <c r="Z8" s="16">
        <v>0.03</v>
      </c>
      <c r="AA8" s="16">
        <v>0.03</v>
      </c>
      <c r="AB8" s="16">
        <v>0.03</v>
      </c>
      <c r="AC8" s="16">
        <v>0.03</v>
      </c>
      <c r="AD8" s="16">
        <v>0.03</v>
      </c>
      <c r="AE8" s="16">
        <v>0.03</v>
      </c>
      <c r="AF8" s="16">
        <v>0.03</v>
      </c>
      <c r="AG8" s="16">
        <v>0.03</v>
      </c>
      <c r="AH8" s="16">
        <v>0.03</v>
      </c>
      <c r="AI8" s="16">
        <v>0.03</v>
      </c>
      <c r="AK8" s="8" t="s">
        <v>39</v>
      </c>
      <c r="AL8" s="96">
        <f>AL7*AL6</f>
        <v>3519.349170855</v>
      </c>
    </row>
    <row r="9" spans="37:38">
      <c r="AK9" s="2" t="s">
        <v>42</v>
      </c>
      <c r="AL9" s="117">
        <f>MOD!Y311</f>
        <v>5983.5</v>
      </c>
    </row>
    <row r="10" spans="2:38">
      <c r="B10" s="8" t="s">
        <v>373</v>
      </c>
      <c r="C10" s="8"/>
      <c r="E10" s="109">
        <f>MOD!F210</f>
        <v>133.406</v>
      </c>
      <c r="F10" s="109">
        <f>MOD!G210</f>
        <v>239.8</v>
      </c>
      <c r="G10" s="109">
        <f>MOD!H210</f>
        <v>295.9</v>
      </c>
      <c r="H10" s="109">
        <f>MOD!I210</f>
        <v>346.2</v>
      </c>
      <c r="I10" s="109">
        <f>MOD!J210</f>
        <v>426.6</v>
      </c>
      <c r="J10" s="109">
        <f>MOD!K210</f>
        <v>385</v>
      </c>
      <c r="K10" s="109">
        <f>MOD!O210</f>
        <v>721.2</v>
      </c>
      <c r="L10" s="109">
        <f>MOD!S210</f>
        <v>806</v>
      </c>
      <c r="M10" s="109">
        <f>MOD!W210</f>
        <v>927.2</v>
      </c>
      <c r="N10" s="109">
        <f>MOD!AA210</f>
        <v>817.082828799999</v>
      </c>
      <c r="O10" s="109">
        <f>MOD!AB210</f>
        <v>892.981980876999</v>
      </c>
      <c r="P10" s="109">
        <f>P11*P7</f>
        <v>1048.35869575792</v>
      </c>
      <c r="Q10" s="109">
        <f t="shared" ref="Q10:AI10" si="2">Q11*Q7</f>
        <v>1079.80945663066</v>
      </c>
      <c r="R10" s="109">
        <f t="shared" si="2"/>
        <v>1112.20374032958</v>
      </c>
      <c r="S10" s="109">
        <f t="shared" si="2"/>
        <v>1145.56985253947</v>
      </c>
      <c r="T10" s="109">
        <f t="shared" si="2"/>
        <v>1179.93694811565</v>
      </c>
      <c r="U10" s="109">
        <f t="shared" si="2"/>
        <v>1215.33505655912</v>
      </c>
      <c r="V10" s="109">
        <f t="shared" si="2"/>
        <v>1251.79510825589</v>
      </c>
      <c r="W10" s="109">
        <f t="shared" si="2"/>
        <v>1289.34896150357</v>
      </c>
      <c r="X10" s="109">
        <f t="shared" si="2"/>
        <v>1328.02943034868</v>
      </c>
      <c r="Y10" s="109">
        <f t="shared" si="2"/>
        <v>1367.87031325914</v>
      </c>
      <c r="Z10" s="109">
        <f t="shared" si="2"/>
        <v>1408.90642265691</v>
      </c>
      <c r="AA10" s="109">
        <f t="shared" si="2"/>
        <v>1451.17361533662</v>
      </c>
      <c r="AB10" s="109">
        <f t="shared" si="2"/>
        <v>1494.70882379672</v>
      </c>
      <c r="AC10" s="109">
        <f t="shared" si="2"/>
        <v>1539.55008851062</v>
      </c>
      <c r="AD10" s="109">
        <f t="shared" si="2"/>
        <v>1585.73659116594</v>
      </c>
      <c r="AE10" s="109">
        <f t="shared" si="2"/>
        <v>1633.30868890091</v>
      </c>
      <c r="AF10" s="109">
        <f t="shared" si="2"/>
        <v>1682.30794956794</v>
      </c>
      <c r="AG10" s="109">
        <f t="shared" si="2"/>
        <v>1732.77718805498</v>
      </c>
      <c r="AH10" s="109">
        <f t="shared" si="2"/>
        <v>1784.76050369663</v>
      </c>
      <c r="AI10" s="109">
        <f t="shared" si="2"/>
        <v>1838.30331880753</v>
      </c>
      <c r="AK10" s="2" t="s">
        <v>44</v>
      </c>
      <c r="AL10" s="117">
        <f>MOD!Y312</f>
        <v>946.3</v>
      </c>
    </row>
    <row r="11" spans="2:38">
      <c r="B11" s="2" t="s">
        <v>40</v>
      </c>
      <c r="E11" s="16">
        <f t="shared" ref="E11:O11" si="3">E10/E7</f>
        <v>0.0732335264913386</v>
      </c>
      <c r="F11" s="16">
        <f t="shared" si="3"/>
        <v>0.100811367553706</v>
      </c>
      <c r="G11" s="16">
        <f t="shared" si="3"/>
        <v>0.093597773138483</v>
      </c>
      <c r="H11" s="16">
        <f t="shared" si="3"/>
        <v>0.0733816609436602</v>
      </c>
      <c r="I11" s="16">
        <f t="shared" si="3"/>
        <v>0.0698108267329973</v>
      </c>
      <c r="J11" s="16">
        <f t="shared" si="3"/>
        <v>0.0624260211113454</v>
      </c>
      <c r="K11" s="16">
        <f t="shared" si="3"/>
        <v>0.0842228191054537</v>
      </c>
      <c r="L11" s="16">
        <f t="shared" si="3"/>
        <v>0.0796049382716049</v>
      </c>
      <c r="M11" s="16">
        <f t="shared" si="3"/>
        <v>0.0879529501043446</v>
      </c>
      <c r="N11" s="16">
        <f t="shared" si="3"/>
        <v>0.0690567802103553</v>
      </c>
      <c r="O11" s="16">
        <f t="shared" si="3"/>
        <v>0.0701875374545047</v>
      </c>
      <c r="P11" s="16">
        <v>0.08</v>
      </c>
      <c r="Q11" s="16">
        <v>0.08</v>
      </c>
      <c r="R11" s="16">
        <v>0.08</v>
      </c>
      <c r="S11" s="16">
        <v>0.08</v>
      </c>
      <c r="T11" s="16">
        <v>0.08</v>
      </c>
      <c r="U11" s="16">
        <v>0.08</v>
      </c>
      <c r="V11" s="16">
        <v>0.08</v>
      </c>
      <c r="W11" s="16">
        <v>0.08</v>
      </c>
      <c r="X11" s="16">
        <v>0.08</v>
      </c>
      <c r="Y11" s="16">
        <v>0.08</v>
      </c>
      <c r="Z11" s="16">
        <v>0.08</v>
      </c>
      <c r="AA11" s="16">
        <v>0.08</v>
      </c>
      <c r="AB11" s="16">
        <v>0.08</v>
      </c>
      <c r="AC11" s="16">
        <v>0.08</v>
      </c>
      <c r="AD11" s="16">
        <v>0.08</v>
      </c>
      <c r="AE11" s="16">
        <v>0.08</v>
      </c>
      <c r="AF11" s="16">
        <v>0.08</v>
      </c>
      <c r="AG11" s="16">
        <v>0.08</v>
      </c>
      <c r="AH11" s="16">
        <v>0.08</v>
      </c>
      <c r="AI11" s="16">
        <v>0.08</v>
      </c>
      <c r="AK11" s="8" t="s">
        <v>47</v>
      </c>
      <c r="AL11" s="96">
        <f>AL9-AL10</f>
        <v>5037.2</v>
      </c>
    </row>
    <row r="12" spans="2:35">
      <c r="B12" s="2" t="s">
        <v>18</v>
      </c>
      <c r="F12" s="16">
        <f>F10/E10-1</f>
        <v>0.797520351408482</v>
      </c>
      <c r="G12" s="16">
        <f t="shared" ref="G12:T12" si="4">G10/F10-1</f>
        <v>0.233944954128442</v>
      </c>
      <c r="H12" s="16">
        <f t="shared" si="4"/>
        <v>0.169989861439675</v>
      </c>
      <c r="I12" s="16">
        <f t="shared" si="4"/>
        <v>0.232235701906413</v>
      </c>
      <c r="J12" s="16">
        <f t="shared" si="4"/>
        <v>-0.0975152367557429</v>
      </c>
      <c r="K12" s="16">
        <f t="shared" si="4"/>
        <v>0.873246753246752</v>
      </c>
      <c r="L12" s="16">
        <f t="shared" si="4"/>
        <v>0.117581808097615</v>
      </c>
      <c r="M12" s="16">
        <f t="shared" si="4"/>
        <v>0.150372208436725</v>
      </c>
      <c r="N12" s="16">
        <f t="shared" si="4"/>
        <v>-0.118763126833478</v>
      </c>
      <c r="O12" s="16">
        <f t="shared" si="4"/>
        <v>0.0928904015624317</v>
      </c>
      <c r="P12" s="16">
        <f t="shared" si="4"/>
        <v>0.173997592569926</v>
      </c>
      <c r="Q12" s="16">
        <f t="shared" si="4"/>
        <v>0.0299999999999998</v>
      </c>
      <c r="R12" s="16">
        <f t="shared" si="4"/>
        <v>0.0300000000000002</v>
      </c>
      <c r="S12" s="16">
        <f t="shared" si="4"/>
        <v>0.0299999999999998</v>
      </c>
      <c r="T12" s="16">
        <f t="shared" si="4"/>
        <v>0.03</v>
      </c>
      <c r="U12" s="16">
        <f t="shared" ref="U12:AI12" si="5">U10/T10-1</f>
        <v>0.03</v>
      </c>
      <c r="V12" s="16">
        <f t="shared" si="5"/>
        <v>0.03</v>
      </c>
      <c r="W12" s="16">
        <f t="shared" si="5"/>
        <v>0.03</v>
      </c>
      <c r="X12" s="16">
        <f t="shared" si="5"/>
        <v>0.0300000000000002</v>
      </c>
      <c r="Y12" s="16">
        <f t="shared" si="5"/>
        <v>0.03</v>
      </c>
      <c r="Z12" s="16">
        <f t="shared" si="5"/>
        <v>0.03</v>
      </c>
      <c r="AA12" s="16">
        <f t="shared" si="5"/>
        <v>0.03</v>
      </c>
      <c r="AB12" s="16">
        <f t="shared" si="5"/>
        <v>0.0300000000000002</v>
      </c>
      <c r="AC12" s="16">
        <f t="shared" si="5"/>
        <v>0.03</v>
      </c>
      <c r="AD12" s="16">
        <f t="shared" si="5"/>
        <v>0.03</v>
      </c>
      <c r="AE12" s="16">
        <f t="shared" si="5"/>
        <v>0.0299999999999998</v>
      </c>
      <c r="AF12" s="16">
        <f t="shared" si="5"/>
        <v>0.03</v>
      </c>
      <c r="AG12" s="16">
        <f t="shared" si="5"/>
        <v>0.03</v>
      </c>
      <c r="AH12" s="16">
        <f t="shared" si="5"/>
        <v>0.03</v>
      </c>
      <c r="AI12" s="16">
        <f t="shared" si="5"/>
        <v>0.03</v>
      </c>
    </row>
    <row r="13" spans="2:41">
      <c r="B13" s="2" t="s">
        <v>126</v>
      </c>
      <c r="G13" s="110">
        <f>(G12-F12)*10000</f>
        <v>-5635.7539728004</v>
      </c>
      <c r="H13" s="110">
        <f t="shared" ref="H13" si="6">(H12-G12)*10000</f>
        <v>-639.550926887671</v>
      </c>
      <c r="I13" s="110">
        <f t="shared" ref="I13" si="7">(I12-H12)*10000</f>
        <v>622.458404667385</v>
      </c>
      <c r="J13" s="110">
        <f t="shared" ref="J13" si="8">(J12-I12)*10000</f>
        <v>-3297.50938662156</v>
      </c>
      <c r="K13" s="110">
        <f t="shared" ref="K13" si="9">(K12-J12)*10000</f>
        <v>9707.61990002495</v>
      </c>
      <c r="L13" s="110">
        <f t="shared" ref="L13" si="10">(L12-K12)*10000</f>
        <v>-7556.64945149137</v>
      </c>
      <c r="M13" s="110">
        <f t="shared" ref="M13" si="11">(M12-L12)*10000</f>
        <v>327.9040033911</v>
      </c>
      <c r="N13" s="110">
        <f t="shared" ref="N13" si="12">(N12-M12)*10000</f>
        <v>-2691.35335270203</v>
      </c>
      <c r="O13" s="110">
        <f t="shared" ref="O13" si="13">(O12-N12)*10000</f>
        <v>2116.5352839591</v>
      </c>
      <c r="P13" s="110">
        <f t="shared" ref="P13" si="14">(P12-O12)*10000</f>
        <v>811.071910074943</v>
      </c>
      <c r="Q13" s="110">
        <f t="shared" ref="Q13" si="15">(Q12-P12)*10000</f>
        <v>-1439.97592569926</v>
      </c>
      <c r="R13" s="110">
        <f t="shared" ref="R13" si="16">(R12-Q12)*10000</f>
        <v>4.44089209850063e-12</v>
      </c>
      <c r="S13" s="110">
        <f t="shared" ref="S13:T13" si="17">(S12-R12)*10000</f>
        <v>-4.44089209850063e-12</v>
      </c>
      <c r="T13" s="110">
        <f t="shared" si="17"/>
        <v>2.22044604925031e-12</v>
      </c>
      <c r="U13" s="110">
        <f t="shared" ref="U13" si="18">(U12-T12)*10000</f>
        <v>0</v>
      </c>
      <c r="V13" s="110">
        <f t="shared" ref="V13" si="19">(V12-U12)*10000</f>
        <v>0</v>
      </c>
      <c r="W13" s="110">
        <f t="shared" ref="W13" si="20">(W12-V12)*10000</f>
        <v>0</v>
      </c>
      <c r="X13" s="110">
        <f t="shared" ref="X13" si="21">(X12-W12)*10000</f>
        <v>2.22044604925031e-12</v>
      </c>
      <c r="Y13" s="110">
        <f t="shared" ref="Y13" si="22">(Y12-X12)*10000</f>
        <v>-2.22044604925031e-12</v>
      </c>
      <c r="Z13" s="110">
        <f t="shared" ref="Z13" si="23">(Z12-Y12)*10000</f>
        <v>0</v>
      </c>
      <c r="AA13" s="110">
        <f t="shared" ref="AA13" si="24">(AA12-Z12)*10000</f>
        <v>0</v>
      </c>
      <c r="AB13" s="110">
        <f t="shared" ref="AB13" si="25">(AB12-AA12)*10000</f>
        <v>2.22044604925031e-12</v>
      </c>
      <c r="AC13" s="110">
        <f t="shared" ref="AC13" si="26">(AC12-AB12)*10000</f>
        <v>-2.22044604925031e-12</v>
      </c>
      <c r="AD13" s="110">
        <f t="shared" ref="AD13" si="27">(AD12-AC12)*10000</f>
        <v>0</v>
      </c>
      <c r="AE13" s="110">
        <f t="shared" ref="AE13" si="28">(AE12-AD12)*10000</f>
        <v>-2.22044604925031e-12</v>
      </c>
      <c r="AF13" s="110">
        <f t="shared" ref="AF13" si="29">(AF12-AE12)*10000</f>
        <v>2.22044604925031e-12</v>
      </c>
      <c r="AG13" s="110">
        <f t="shared" ref="AG13" si="30">(AG12-AF12)*10000</f>
        <v>0</v>
      </c>
      <c r="AH13" s="110">
        <f t="shared" ref="AH13" si="31">(AH12-AG12)*10000</f>
        <v>0</v>
      </c>
      <c r="AI13" s="110">
        <f t="shared" ref="AI13" si="32">(AI12-AH12)*10000</f>
        <v>0</v>
      </c>
      <c r="AK13" s="8" t="s">
        <v>51</v>
      </c>
      <c r="AL13" s="96">
        <f>AL8+AL11</f>
        <v>8556.549170855</v>
      </c>
      <c r="AO13" s="117"/>
    </row>
    <row r="14" spans="2:41">
      <c r="B14" s="8" t="s">
        <v>177</v>
      </c>
      <c r="C14" s="8"/>
      <c r="F14" s="16">
        <f t="shared" ref="F14:AI14" si="33">(F10-E10)/(F7-E7)</f>
        <v>0.19099610805532</v>
      </c>
      <c r="G14" s="16">
        <f t="shared" si="33"/>
        <v>0.0716749712533541</v>
      </c>
      <c r="H14" s="16">
        <f t="shared" si="33"/>
        <v>0.0323181701362116</v>
      </c>
      <c r="I14" s="16">
        <f t="shared" si="33"/>
        <v>0.0577171572146448</v>
      </c>
      <c r="J14" s="16">
        <f t="shared" si="33"/>
        <v>-0.736283185840707</v>
      </c>
      <c r="K14" s="16">
        <f t="shared" si="33"/>
        <v>0.140334766456568</v>
      </c>
      <c r="L14" s="16">
        <f t="shared" si="33"/>
        <v>0.0542893725992317</v>
      </c>
      <c r="M14" s="16">
        <f t="shared" si="33"/>
        <v>0.290647482014389</v>
      </c>
      <c r="N14" s="16">
        <f t="shared" si="33"/>
        <v>-0.0853592684997176</v>
      </c>
      <c r="O14" s="16">
        <f t="shared" si="33"/>
        <v>0.0852075498177242</v>
      </c>
      <c r="P14" s="16">
        <f t="shared" si="33"/>
        <v>0.407082084849844</v>
      </c>
      <c r="Q14" s="16">
        <f t="shared" si="33"/>
        <v>0.0799999999999996</v>
      </c>
      <c r="R14" s="16">
        <f t="shared" si="33"/>
        <v>0.0800000000000004</v>
      </c>
      <c r="S14" s="16">
        <f t="shared" si="33"/>
        <v>0.0799999999999996</v>
      </c>
      <c r="T14" s="16">
        <f t="shared" si="33"/>
        <v>0.0800000000000003</v>
      </c>
      <c r="U14" s="16">
        <f t="shared" si="33"/>
        <v>0.0799999999999999</v>
      </c>
      <c r="V14" s="16">
        <f t="shared" si="33"/>
        <v>0.0799999999999997</v>
      </c>
      <c r="W14" s="16">
        <f t="shared" si="33"/>
        <v>0.0800000000000003</v>
      </c>
      <c r="X14" s="16">
        <f t="shared" si="33"/>
        <v>0.0800000000000001</v>
      </c>
      <c r="Y14" s="16">
        <f t="shared" si="33"/>
        <v>0.0799999999999999</v>
      </c>
      <c r="Z14" s="16">
        <f t="shared" si="33"/>
        <v>0.0799999999999999</v>
      </c>
      <c r="AA14" s="16">
        <f t="shared" si="33"/>
        <v>0.0799999999999998</v>
      </c>
      <c r="AB14" s="16">
        <f t="shared" si="33"/>
        <v>0.0800000000000003</v>
      </c>
      <c r="AC14" s="16">
        <f t="shared" si="33"/>
        <v>0.08</v>
      </c>
      <c r="AD14" s="16">
        <f t="shared" si="33"/>
        <v>0.08</v>
      </c>
      <c r="AE14" s="16">
        <f t="shared" si="33"/>
        <v>0.0799999999999998</v>
      </c>
      <c r="AF14" s="16">
        <f t="shared" si="33"/>
        <v>0.08</v>
      </c>
      <c r="AG14" s="16">
        <f t="shared" si="33"/>
        <v>0.0800000000000003</v>
      </c>
      <c r="AH14" s="16">
        <f t="shared" si="33"/>
        <v>0.0799999999999998</v>
      </c>
      <c r="AI14" s="16">
        <f t="shared" si="33"/>
        <v>0.08</v>
      </c>
      <c r="AO14" s="117"/>
    </row>
    <row r="15" ht="26" spans="37:41">
      <c r="AK15" s="104" t="s">
        <v>374</v>
      </c>
      <c r="AL15" s="104"/>
      <c r="AO15" s="117"/>
    </row>
    <row r="16" spans="2:41">
      <c r="B16" s="2" t="s">
        <v>375</v>
      </c>
      <c r="E16" s="39">
        <f>MOD!F219</f>
        <v>-1.775</v>
      </c>
      <c r="F16" s="39">
        <f>MOD!G219</f>
        <v>-1.4</v>
      </c>
      <c r="G16" s="39">
        <f>MOD!H219</f>
        <v>-1.4</v>
      </c>
      <c r="H16" s="39">
        <f>MOD!I219</f>
        <v>-6.3</v>
      </c>
      <c r="I16" s="39">
        <f>MOD!J219</f>
        <v>-78.1</v>
      </c>
      <c r="J16" s="39">
        <f>MOD!K219</f>
        <v>-61</v>
      </c>
      <c r="K16" s="39">
        <f>MOD!O219</f>
        <v>-66.5</v>
      </c>
      <c r="L16" s="2">
        <f>MOD!S219</f>
        <v>-319.3</v>
      </c>
      <c r="M16" s="2">
        <f>MOD!W219</f>
        <v>-116</v>
      </c>
      <c r="N16" s="2">
        <f>MOD!AA219</f>
        <v>-116</v>
      </c>
      <c r="O16" s="2">
        <f>MOD!AB219</f>
        <v>-116</v>
      </c>
      <c r="P16" s="2">
        <f>MOD!AC219</f>
        <v>-116</v>
      </c>
      <c r="Q16" s="2">
        <f>MOD!AD219</f>
        <v>-116</v>
      </c>
      <c r="R16" s="2">
        <f>MOD!AE219</f>
        <v>-116</v>
      </c>
      <c r="S16" s="2">
        <f>MOD!AF219</f>
        <v>-116</v>
      </c>
      <c r="T16" s="2">
        <f>S16</f>
        <v>-116</v>
      </c>
      <c r="U16" s="2">
        <f t="shared" ref="U16:AI16" si="34">T16</f>
        <v>-116</v>
      </c>
      <c r="V16" s="2">
        <f t="shared" si="34"/>
        <v>-116</v>
      </c>
      <c r="W16" s="2">
        <f t="shared" si="34"/>
        <v>-116</v>
      </c>
      <c r="X16" s="2">
        <f t="shared" si="34"/>
        <v>-116</v>
      </c>
      <c r="Y16" s="2">
        <f t="shared" si="34"/>
        <v>-116</v>
      </c>
      <c r="Z16" s="2">
        <f t="shared" si="34"/>
        <v>-116</v>
      </c>
      <c r="AA16" s="2">
        <f t="shared" si="34"/>
        <v>-116</v>
      </c>
      <c r="AB16" s="2">
        <f t="shared" si="34"/>
        <v>-116</v>
      </c>
      <c r="AC16" s="2">
        <f t="shared" si="34"/>
        <v>-116</v>
      </c>
      <c r="AD16" s="2">
        <f t="shared" si="34"/>
        <v>-116</v>
      </c>
      <c r="AE16" s="2">
        <f t="shared" si="34"/>
        <v>-116</v>
      </c>
      <c r="AF16" s="2">
        <f t="shared" si="34"/>
        <v>-116</v>
      </c>
      <c r="AG16" s="2">
        <f t="shared" si="34"/>
        <v>-116</v>
      </c>
      <c r="AH16" s="2">
        <f t="shared" si="34"/>
        <v>-116</v>
      </c>
      <c r="AI16" s="2">
        <f t="shared" si="34"/>
        <v>-116</v>
      </c>
      <c r="AK16" s="3" t="s">
        <v>376</v>
      </c>
      <c r="AL16" s="2">
        <v>1.47</v>
      </c>
      <c r="AO16" s="117"/>
    </row>
    <row r="17" spans="2:38">
      <c r="B17" s="8" t="s">
        <v>377</v>
      </c>
      <c r="C17" s="8"/>
      <c r="E17" s="109">
        <f>E10+E16</f>
        <v>131.631</v>
      </c>
      <c r="F17" s="109">
        <f t="shared" ref="F17:T17" si="35">F10+F16</f>
        <v>238.4</v>
      </c>
      <c r="G17" s="109">
        <f t="shared" si="35"/>
        <v>294.5</v>
      </c>
      <c r="H17" s="109">
        <f t="shared" si="35"/>
        <v>339.9</v>
      </c>
      <c r="I17" s="109">
        <f t="shared" si="35"/>
        <v>348.5</v>
      </c>
      <c r="J17" s="109">
        <f t="shared" si="35"/>
        <v>324</v>
      </c>
      <c r="K17" s="109">
        <f t="shared" si="35"/>
        <v>654.7</v>
      </c>
      <c r="L17" s="109">
        <f t="shared" si="35"/>
        <v>486.7</v>
      </c>
      <c r="M17" s="109">
        <f t="shared" si="35"/>
        <v>811.2</v>
      </c>
      <c r="N17" s="109">
        <f t="shared" si="35"/>
        <v>701.082828799999</v>
      </c>
      <c r="O17" s="109">
        <f t="shared" si="35"/>
        <v>776.981980876999</v>
      </c>
      <c r="P17" s="109">
        <f t="shared" si="35"/>
        <v>932.35869575792</v>
      </c>
      <c r="Q17" s="109">
        <f t="shared" si="35"/>
        <v>963.809456630658</v>
      </c>
      <c r="R17" s="109">
        <f t="shared" si="35"/>
        <v>996.203740329578</v>
      </c>
      <c r="S17" s="109">
        <f t="shared" si="35"/>
        <v>1029.56985253947</v>
      </c>
      <c r="T17" s="109">
        <f t="shared" si="35"/>
        <v>1063.93694811565</v>
      </c>
      <c r="U17" s="109">
        <f t="shared" ref="U17" si="36">U10+U16</f>
        <v>1099.33505655912</v>
      </c>
      <c r="V17" s="109">
        <f t="shared" ref="V17" si="37">V10+V16</f>
        <v>1135.79510825589</v>
      </c>
      <c r="W17" s="109">
        <f t="shared" ref="W17" si="38">W10+W16</f>
        <v>1173.34896150357</v>
      </c>
      <c r="X17" s="109">
        <f t="shared" ref="X17" si="39">X10+X16</f>
        <v>1212.02943034868</v>
      </c>
      <c r="Y17" s="109">
        <f t="shared" ref="Y17" si="40">Y10+Y16</f>
        <v>1251.87031325914</v>
      </c>
      <c r="Z17" s="109">
        <f t="shared" ref="Z17" si="41">Z10+Z16</f>
        <v>1292.90642265691</v>
      </c>
      <c r="AA17" s="109">
        <f t="shared" ref="AA17" si="42">AA10+AA16</f>
        <v>1335.17361533662</v>
      </c>
      <c r="AB17" s="109">
        <f t="shared" ref="AB17" si="43">AB10+AB16</f>
        <v>1378.70882379672</v>
      </c>
      <c r="AC17" s="109">
        <f t="shared" ref="AC17" si="44">AC10+AC16</f>
        <v>1423.55008851062</v>
      </c>
      <c r="AD17" s="109">
        <f t="shared" ref="AD17" si="45">AD10+AD16</f>
        <v>1469.73659116594</v>
      </c>
      <c r="AE17" s="109">
        <f t="shared" ref="AE17" si="46">AE10+AE16</f>
        <v>1517.30868890091</v>
      </c>
      <c r="AF17" s="109">
        <f t="shared" ref="AF17" si="47">AF10+AF16</f>
        <v>1566.30794956794</v>
      </c>
      <c r="AG17" s="109">
        <f t="shared" ref="AG17" si="48">AG10+AG16</f>
        <v>1616.77718805498</v>
      </c>
      <c r="AH17" s="109">
        <f t="shared" ref="AH17" si="49">AH10+AH16</f>
        <v>1668.76050369663</v>
      </c>
      <c r="AI17" s="109">
        <f t="shared" ref="AI17" si="50">AI10+AI16</f>
        <v>1722.30331880753</v>
      </c>
      <c r="AK17" s="3" t="s">
        <v>378</v>
      </c>
      <c r="AL17" s="16">
        <v>0.037</v>
      </c>
    </row>
    <row r="18" spans="37:38">
      <c r="AK18" s="3" t="s">
        <v>379</v>
      </c>
      <c r="AL18" s="16">
        <v>0.129</v>
      </c>
    </row>
    <row r="19" spans="2:38">
      <c r="B19" s="2" t="s">
        <v>380</v>
      </c>
      <c r="E19" s="110">
        <f>MOD!F222</f>
        <v>-31.001</v>
      </c>
      <c r="F19" s="110">
        <f>MOD!G222</f>
        <v>-53.788</v>
      </c>
      <c r="G19" s="110">
        <f>MOD!H222</f>
        <v>-58.1</v>
      </c>
      <c r="H19" s="110">
        <f>MOD!I222</f>
        <v>-75.7</v>
      </c>
      <c r="I19" s="110">
        <f>MOD!J222</f>
        <v>-97.8</v>
      </c>
      <c r="J19" s="110">
        <f>MOD!K222</f>
        <v>-94.8</v>
      </c>
      <c r="K19" s="110">
        <f>MOD!O222</f>
        <v>-195.1</v>
      </c>
      <c r="L19" s="110">
        <f>MOD!S222</f>
        <v>-214.2</v>
      </c>
      <c r="M19" s="110">
        <f>MOD!W222</f>
        <v>-206.2</v>
      </c>
      <c r="N19" s="110">
        <f>MOD!AA222</f>
        <v>-178.209170732939</v>
      </c>
      <c r="O19" s="110">
        <f>MOD!AB222</f>
        <v>-197.502076500046</v>
      </c>
      <c r="P19" s="110">
        <f>MOD!AC222</f>
        <v>-209.809590797889</v>
      </c>
      <c r="Q19" s="110">
        <f>MOD!AD222</f>
        <v>-221.132126455221</v>
      </c>
      <c r="R19" s="110">
        <f>MOD!AE222</f>
        <v>-231.166972624252</v>
      </c>
      <c r="S19" s="110">
        <f>MOD!AF222</f>
        <v>-239.37653876806</v>
      </c>
      <c r="T19" s="110">
        <f>-T17*T20</f>
        <v>-270.239984821375</v>
      </c>
      <c r="U19" s="110">
        <f t="shared" ref="U19:AI19" si="51">-U17*U20</f>
        <v>-279.231104366016</v>
      </c>
      <c r="V19" s="110">
        <f t="shared" si="51"/>
        <v>-288.491957496997</v>
      </c>
      <c r="W19" s="110">
        <f t="shared" si="51"/>
        <v>-298.030636221906</v>
      </c>
      <c r="X19" s="110">
        <f t="shared" si="51"/>
        <v>-307.855475308564</v>
      </c>
      <c r="Y19" s="110">
        <f t="shared" si="51"/>
        <v>-317.975059567821</v>
      </c>
      <c r="Z19" s="110">
        <f t="shared" si="51"/>
        <v>-328.398231354855</v>
      </c>
      <c r="AA19" s="110">
        <f t="shared" si="51"/>
        <v>-339.134098295501</v>
      </c>
      <c r="AB19" s="110">
        <f t="shared" si="51"/>
        <v>-350.192041244366</v>
      </c>
      <c r="AC19" s="110">
        <f t="shared" si="51"/>
        <v>-361.581722481697</v>
      </c>
      <c r="AD19" s="110">
        <f t="shared" si="51"/>
        <v>-373.313094156148</v>
      </c>
      <c r="AE19" s="110">
        <f t="shared" si="51"/>
        <v>-385.396406980832</v>
      </c>
      <c r="AF19" s="110">
        <f t="shared" si="51"/>
        <v>-397.842219190257</v>
      </c>
      <c r="AG19" s="110">
        <f t="shared" si="51"/>
        <v>-410.661405765965</v>
      </c>
      <c r="AH19" s="110">
        <f t="shared" si="51"/>
        <v>-423.865167938944</v>
      </c>
      <c r="AI19" s="110">
        <f t="shared" si="51"/>
        <v>-437.465042977112</v>
      </c>
      <c r="AK19" s="3" t="s">
        <v>381</v>
      </c>
      <c r="AL19" s="16">
        <v>0.04</v>
      </c>
    </row>
    <row r="20" spans="2:38">
      <c r="B20" s="2" t="s">
        <v>382</v>
      </c>
      <c r="E20" s="16">
        <f>-E19/E17</f>
        <v>0.235514430491298</v>
      </c>
      <c r="F20" s="16">
        <f t="shared" ref="F20:S20" si="52">-F19/F17</f>
        <v>0.225620805369128</v>
      </c>
      <c r="G20" s="16">
        <f t="shared" si="52"/>
        <v>0.197283531409168</v>
      </c>
      <c r="H20" s="16">
        <f t="shared" si="52"/>
        <v>0.222712562518388</v>
      </c>
      <c r="I20" s="16">
        <f t="shared" si="52"/>
        <v>0.280631276901004</v>
      </c>
      <c r="J20" s="16">
        <f t="shared" si="52"/>
        <v>0.292592592592592</v>
      </c>
      <c r="K20" s="16">
        <f t="shared" si="52"/>
        <v>0.297999083549717</v>
      </c>
      <c r="L20" s="16">
        <f t="shared" si="52"/>
        <v>0.440106841997123</v>
      </c>
      <c r="M20" s="16">
        <f t="shared" si="52"/>
        <v>0.254191321499014</v>
      </c>
      <c r="N20" s="16">
        <f t="shared" si="52"/>
        <v>0.254191321499014</v>
      </c>
      <c r="O20" s="16">
        <f t="shared" si="52"/>
        <v>0.254191321499014</v>
      </c>
      <c r="P20" s="16">
        <f t="shared" si="52"/>
        <v>0.225030979763999</v>
      </c>
      <c r="Q20" s="16">
        <f t="shared" si="52"/>
        <v>0.229435522689586</v>
      </c>
      <c r="R20" s="16">
        <f t="shared" si="52"/>
        <v>0.232047886657979</v>
      </c>
      <c r="S20" s="16">
        <f t="shared" si="52"/>
        <v>0.232501503591651</v>
      </c>
      <c r="T20" s="16">
        <v>0.254</v>
      </c>
      <c r="U20" s="16">
        <v>0.254</v>
      </c>
      <c r="V20" s="16">
        <v>0.254</v>
      </c>
      <c r="W20" s="16">
        <v>0.254</v>
      </c>
      <c r="X20" s="16">
        <v>0.254</v>
      </c>
      <c r="Y20" s="16">
        <v>0.254</v>
      </c>
      <c r="Z20" s="16">
        <v>0.254</v>
      </c>
      <c r="AA20" s="16">
        <v>0.254</v>
      </c>
      <c r="AB20" s="16">
        <v>0.254</v>
      </c>
      <c r="AC20" s="16">
        <v>0.254</v>
      </c>
      <c r="AD20" s="16">
        <v>0.254</v>
      </c>
      <c r="AE20" s="16">
        <v>0.254</v>
      </c>
      <c r="AF20" s="16">
        <v>0.254</v>
      </c>
      <c r="AG20" s="16">
        <v>0.254</v>
      </c>
      <c r="AH20" s="16">
        <v>0.254</v>
      </c>
      <c r="AI20" s="16">
        <v>0.254</v>
      </c>
      <c r="AK20" s="3" t="s">
        <v>383</v>
      </c>
      <c r="AL20" s="16">
        <v>0.254</v>
      </c>
    </row>
    <row r="21" spans="37:38">
      <c r="AK21" s="3" t="s">
        <v>384</v>
      </c>
      <c r="AL21" s="16">
        <v>0.4</v>
      </c>
    </row>
    <row r="22" spans="2:35">
      <c r="B22" s="8" t="s">
        <v>261</v>
      </c>
      <c r="C22" s="8"/>
      <c r="E22" s="109">
        <f>MOD!F327</f>
        <v>103.425</v>
      </c>
      <c r="F22" s="109">
        <f>MOD!G327</f>
        <v>199.7</v>
      </c>
      <c r="G22" s="109">
        <f>MOD!H327</f>
        <v>238.1</v>
      </c>
      <c r="H22" s="109">
        <f>MOD!I327</f>
        <v>265.9</v>
      </c>
      <c r="I22" s="109">
        <f>MOD!J327</f>
        <v>328.8</v>
      </c>
      <c r="J22" s="109">
        <f>MOD!K327</f>
        <v>254.6</v>
      </c>
      <c r="K22" s="109">
        <f>MOD!O327</f>
        <v>477.1</v>
      </c>
      <c r="L22" s="109">
        <f>MOD!S327</f>
        <v>631.6</v>
      </c>
      <c r="M22" s="109">
        <f>MOD!W327</f>
        <v>718.6</v>
      </c>
      <c r="N22" s="109">
        <f>IFERROR(N10+N19,"n/a")</f>
        <v>638.873658067061</v>
      </c>
      <c r="O22" s="109">
        <f t="shared" ref="O22:T22" si="53">IFERROR(O10+O19,"n/a")</f>
        <v>695.479904376953</v>
      </c>
      <c r="P22" s="109">
        <f t="shared" si="53"/>
        <v>838.549104960032</v>
      </c>
      <c r="Q22" s="109">
        <f t="shared" si="53"/>
        <v>858.677330175437</v>
      </c>
      <c r="R22" s="109">
        <f t="shared" si="53"/>
        <v>881.036767705325</v>
      </c>
      <c r="S22" s="109">
        <f t="shared" si="53"/>
        <v>906.193313771405</v>
      </c>
      <c r="T22" s="109">
        <f t="shared" si="53"/>
        <v>909.696963294274</v>
      </c>
      <c r="U22" s="109">
        <f t="shared" ref="U22:AI22" si="54">IFERROR(U10+U19,"n/a")</f>
        <v>936.103952193102</v>
      </c>
      <c r="V22" s="109">
        <f t="shared" si="54"/>
        <v>963.303150758896</v>
      </c>
      <c r="W22" s="109">
        <f t="shared" si="54"/>
        <v>991.318325281663</v>
      </c>
      <c r="X22" s="109">
        <f t="shared" si="54"/>
        <v>1020.17395504011</v>
      </c>
      <c r="Y22" s="109">
        <f t="shared" si="54"/>
        <v>1049.89525369132</v>
      </c>
      <c r="Z22" s="109">
        <f t="shared" si="54"/>
        <v>1080.50819130206</v>
      </c>
      <c r="AA22" s="109">
        <f t="shared" si="54"/>
        <v>1112.03951704112</v>
      </c>
      <c r="AB22" s="109">
        <f t="shared" si="54"/>
        <v>1144.51678255235</v>
      </c>
      <c r="AC22" s="109">
        <f t="shared" si="54"/>
        <v>1177.96836602892</v>
      </c>
      <c r="AD22" s="109">
        <f t="shared" si="54"/>
        <v>1212.42349700979</v>
      </c>
      <c r="AE22" s="109">
        <f t="shared" si="54"/>
        <v>1247.91228192008</v>
      </c>
      <c r="AF22" s="109">
        <f t="shared" si="54"/>
        <v>1284.46573037769</v>
      </c>
      <c r="AG22" s="109">
        <f t="shared" si="54"/>
        <v>1322.11578228902</v>
      </c>
      <c r="AH22" s="109">
        <f t="shared" si="54"/>
        <v>1360.89533575769</v>
      </c>
      <c r="AI22" s="109">
        <f t="shared" si="54"/>
        <v>1400.83827583042</v>
      </c>
    </row>
    <row r="23" spans="37:38">
      <c r="AK23" s="8" t="s">
        <v>385</v>
      </c>
      <c r="AL23" s="16">
        <f>AL18*(1-AL21)+AL19*(1-AL20)*AL21</f>
        <v>0.089336</v>
      </c>
    </row>
    <row r="24" spans="2:35">
      <c r="B24" s="2" t="s">
        <v>386</v>
      </c>
      <c r="E24" s="39">
        <f>MOD!F245</f>
        <v>48.778</v>
      </c>
      <c r="F24" s="39">
        <f>MOD!G245</f>
        <v>62.4</v>
      </c>
      <c r="G24" s="39">
        <f>MOD!H245</f>
        <v>71.3</v>
      </c>
      <c r="H24" s="39">
        <f>MOD!I245</f>
        <v>115</v>
      </c>
      <c r="I24" s="39">
        <f>MOD!J245</f>
        <v>450</v>
      </c>
      <c r="J24" s="39">
        <f>MOD!K245</f>
        <v>499.2</v>
      </c>
      <c r="K24" s="39">
        <f>MOD!O245</f>
        <v>579.9</v>
      </c>
      <c r="L24" s="39">
        <f>MOD!S245</f>
        <v>633.2</v>
      </c>
      <c r="M24" s="39">
        <f>MOD!W245</f>
        <v>908</v>
      </c>
      <c r="N24" s="2">
        <f>MOD!AA245</f>
        <v>800</v>
      </c>
      <c r="O24" s="2">
        <f>MOD!AB245</f>
        <v>850</v>
      </c>
      <c r="P24" s="110">
        <f>P25*P7</f>
        <v>917.31385878818</v>
      </c>
      <c r="Q24" s="110">
        <f t="shared" ref="Q24:AI24" si="55">Q25*Q7</f>
        <v>944.833274551826</v>
      </c>
      <c r="R24" s="110">
        <f t="shared" si="55"/>
        <v>973.178272788381</v>
      </c>
      <c r="S24" s="110">
        <f t="shared" si="55"/>
        <v>1002.37362097203</v>
      </c>
      <c r="T24" s="110">
        <f t="shared" si="55"/>
        <v>1032.44482960119</v>
      </c>
      <c r="U24" s="110">
        <f t="shared" si="55"/>
        <v>1063.41817448923</v>
      </c>
      <c r="V24" s="110">
        <f t="shared" si="55"/>
        <v>1095.32071972391</v>
      </c>
      <c r="W24" s="110">
        <f t="shared" si="55"/>
        <v>1128.18034131562</v>
      </c>
      <c r="X24" s="110">
        <f t="shared" si="55"/>
        <v>1162.02575155509</v>
      </c>
      <c r="Y24" s="110">
        <f t="shared" si="55"/>
        <v>1196.88652410174</v>
      </c>
      <c r="Z24" s="110">
        <f t="shared" si="55"/>
        <v>1232.7931198248</v>
      </c>
      <c r="AA24" s="110">
        <f t="shared" si="55"/>
        <v>1269.77691341954</v>
      </c>
      <c r="AB24" s="110">
        <f t="shared" si="55"/>
        <v>1307.87022082213</v>
      </c>
      <c r="AC24" s="110">
        <f t="shared" si="55"/>
        <v>1347.10632744679</v>
      </c>
      <c r="AD24" s="110">
        <f t="shared" si="55"/>
        <v>1387.51951727019</v>
      </c>
      <c r="AE24" s="110">
        <f t="shared" si="55"/>
        <v>1429.1451027883</v>
      </c>
      <c r="AF24" s="110">
        <f t="shared" si="55"/>
        <v>1472.01945587195</v>
      </c>
      <c r="AG24" s="110">
        <f t="shared" si="55"/>
        <v>1516.18003954811</v>
      </c>
      <c r="AH24" s="110">
        <f t="shared" si="55"/>
        <v>1561.66544073455</v>
      </c>
      <c r="AI24" s="110">
        <f t="shared" si="55"/>
        <v>1608.51540395659</v>
      </c>
    </row>
    <row r="25" ht="26" spans="2:38">
      <c r="B25" s="2" t="s">
        <v>387</v>
      </c>
      <c r="E25" s="16">
        <f t="shared" ref="E25:O25" si="56">E24/E7</f>
        <v>0.0267767938113317</v>
      </c>
      <c r="F25" s="16">
        <f t="shared" si="56"/>
        <v>0.026232816244167</v>
      </c>
      <c r="G25" s="16">
        <f t="shared" si="56"/>
        <v>0.0225532991712532</v>
      </c>
      <c r="H25" s="16">
        <f t="shared" si="56"/>
        <v>0.0243757683666116</v>
      </c>
      <c r="I25" s="16">
        <f t="shared" si="56"/>
        <v>0.0736401125875499</v>
      </c>
      <c r="J25" s="16">
        <f t="shared" si="56"/>
        <v>0.0809430382825548</v>
      </c>
      <c r="K25" s="16">
        <f t="shared" si="56"/>
        <v>0.0677215928996847</v>
      </c>
      <c r="L25" s="16">
        <f t="shared" si="56"/>
        <v>0.0625382716049383</v>
      </c>
      <c r="M25" s="16">
        <f t="shared" si="56"/>
        <v>0.0861316638209069</v>
      </c>
      <c r="N25" s="16">
        <f t="shared" si="56"/>
        <v>0.0676130035059235</v>
      </c>
      <c r="O25" s="16">
        <f t="shared" si="56"/>
        <v>0.0668091944898344</v>
      </c>
      <c r="P25" s="16">
        <v>0.07</v>
      </c>
      <c r="Q25" s="16">
        <v>0.07</v>
      </c>
      <c r="R25" s="16">
        <v>0.07</v>
      </c>
      <c r="S25" s="16">
        <v>0.07</v>
      </c>
      <c r="T25" s="16">
        <v>0.07</v>
      </c>
      <c r="U25" s="16">
        <v>0.07</v>
      </c>
      <c r="V25" s="16">
        <v>0.07</v>
      </c>
      <c r="W25" s="16">
        <v>0.07</v>
      </c>
      <c r="X25" s="16">
        <v>0.07</v>
      </c>
      <c r="Y25" s="16">
        <v>0.07</v>
      </c>
      <c r="Z25" s="16">
        <v>0.07</v>
      </c>
      <c r="AA25" s="16">
        <v>0.07</v>
      </c>
      <c r="AB25" s="16">
        <v>0.07</v>
      </c>
      <c r="AC25" s="16">
        <v>0.07</v>
      </c>
      <c r="AD25" s="16">
        <v>0.07</v>
      </c>
      <c r="AE25" s="16">
        <v>0.07</v>
      </c>
      <c r="AF25" s="16">
        <v>0.07</v>
      </c>
      <c r="AG25" s="16">
        <v>0.07</v>
      </c>
      <c r="AH25" s="16">
        <v>0.07</v>
      </c>
      <c r="AI25" s="16">
        <v>0.07</v>
      </c>
      <c r="AK25" s="119" t="s">
        <v>388</v>
      </c>
      <c r="AL25" s="119"/>
    </row>
    <row r="26" spans="37:38">
      <c r="AK26" s="2" t="s">
        <v>389</v>
      </c>
      <c r="AL26" s="146">
        <v>10.5</v>
      </c>
    </row>
    <row r="27" spans="2:38">
      <c r="B27" s="2" t="s">
        <v>278</v>
      </c>
      <c r="E27" s="110">
        <f>MOD!F384</f>
        <v>-79.108</v>
      </c>
      <c r="F27" s="110">
        <f>MOD!G384</f>
        <v>-222.8</v>
      </c>
      <c r="G27" s="110">
        <f>MOD!H384</f>
        <v>-207</v>
      </c>
      <c r="H27" s="110">
        <f>MOD!I384</f>
        <v>-540.7</v>
      </c>
      <c r="I27" s="110">
        <f>MOD!J384</f>
        <v>-243.3</v>
      </c>
      <c r="J27" s="110">
        <f>MOD!K384</f>
        <v>-112.9</v>
      </c>
      <c r="K27" s="110">
        <f>MOD!O384</f>
        <v>-238.2</v>
      </c>
      <c r="L27" s="110">
        <f>MOD!S384</f>
        <v>-359.3</v>
      </c>
      <c r="M27" s="110">
        <f>MOD!W384</f>
        <v>-539.7</v>
      </c>
      <c r="N27" s="110">
        <f>MOD!AA384</f>
        <v>-635</v>
      </c>
      <c r="O27" s="110">
        <f>MOD!AB384</f>
        <v>-636.13998529</v>
      </c>
      <c r="P27" s="110">
        <f>-P7*P28</f>
        <v>-655.2241848487</v>
      </c>
      <c r="Q27" s="110">
        <f t="shared" ref="Q27:AI27" si="57">-Q7*Q28</f>
        <v>-674.880910394161</v>
      </c>
      <c r="R27" s="110">
        <f t="shared" si="57"/>
        <v>-695.127337705986</v>
      </c>
      <c r="S27" s="110">
        <f t="shared" si="57"/>
        <v>-715.981157837166</v>
      </c>
      <c r="T27" s="110">
        <f t="shared" si="57"/>
        <v>-737.460592572281</v>
      </c>
      <c r="U27" s="110">
        <f t="shared" si="57"/>
        <v>-759.584410349449</v>
      </c>
      <c r="V27" s="110">
        <f t="shared" si="57"/>
        <v>-782.371942659933</v>
      </c>
      <c r="W27" s="110">
        <f t="shared" si="57"/>
        <v>-805.843100939731</v>
      </c>
      <c r="X27" s="110">
        <f t="shared" si="57"/>
        <v>-830.018393967923</v>
      </c>
      <c r="Y27" s="110">
        <f t="shared" si="57"/>
        <v>-854.91894578696</v>
      </c>
      <c r="Z27" s="110">
        <f t="shared" si="57"/>
        <v>-880.566514160569</v>
      </c>
      <c r="AA27" s="110">
        <f t="shared" si="57"/>
        <v>-906.983509585386</v>
      </c>
      <c r="AB27" s="110">
        <f t="shared" si="57"/>
        <v>-934.193014872948</v>
      </c>
      <c r="AC27" s="110">
        <f t="shared" si="57"/>
        <v>-962.218805319137</v>
      </c>
      <c r="AD27" s="110">
        <f t="shared" si="57"/>
        <v>-991.085369478711</v>
      </c>
      <c r="AE27" s="110">
        <f t="shared" si="57"/>
        <v>-1020.81793056307</v>
      </c>
      <c r="AF27" s="110">
        <f t="shared" si="57"/>
        <v>-1051.44246847996</v>
      </c>
      <c r="AG27" s="110">
        <f t="shared" si="57"/>
        <v>-1082.98574253436</v>
      </c>
      <c r="AH27" s="110">
        <f t="shared" si="57"/>
        <v>-1115.47531481039</v>
      </c>
      <c r="AI27" s="110">
        <f t="shared" si="57"/>
        <v>-1148.93957425471</v>
      </c>
      <c r="AK27" s="8" t="s">
        <v>388</v>
      </c>
      <c r="AL27" s="96">
        <f>AL26*AI33</f>
        <v>19534.3481080891</v>
      </c>
    </row>
    <row r="28" spans="2:38">
      <c r="B28" s="2" t="s">
        <v>387</v>
      </c>
      <c r="E28" s="16">
        <f t="shared" ref="E28:O28" si="58">-(E27)/E7</f>
        <v>0.0434265161512737</v>
      </c>
      <c r="F28" s="16">
        <f t="shared" si="58"/>
        <v>0.0936646067179552</v>
      </c>
      <c r="G28" s="16">
        <f t="shared" si="58"/>
        <v>0.0654773201746062</v>
      </c>
      <c r="H28" s="16">
        <f t="shared" si="58"/>
        <v>0.114608503963712</v>
      </c>
      <c r="I28" s="16">
        <f t="shared" si="58"/>
        <v>0.0398147542056686</v>
      </c>
      <c r="J28" s="16">
        <f t="shared" si="58"/>
        <v>0.0183062280090153</v>
      </c>
      <c r="K28" s="16">
        <f t="shared" si="58"/>
        <v>0.027817353731169</v>
      </c>
      <c r="L28" s="16">
        <f t="shared" si="58"/>
        <v>0.0354864197530864</v>
      </c>
      <c r="M28" s="16">
        <f t="shared" si="58"/>
        <v>0.051195219123506</v>
      </c>
      <c r="N28" s="16">
        <f t="shared" si="58"/>
        <v>0.0536678215328268</v>
      </c>
      <c r="O28" s="16">
        <f t="shared" si="58"/>
        <v>0.05</v>
      </c>
      <c r="P28" s="16">
        <v>0.05</v>
      </c>
      <c r="Q28" s="16">
        <v>0.05</v>
      </c>
      <c r="R28" s="16">
        <v>0.05</v>
      </c>
      <c r="S28" s="16">
        <v>0.05</v>
      </c>
      <c r="T28" s="16">
        <v>0.05</v>
      </c>
      <c r="U28" s="16">
        <v>0.05</v>
      </c>
      <c r="V28" s="16">
        <v>0.05</v>
      </c>
      <c r="W28" s="16">
        <v>0.05</v>
      </c>
      <c r="X28" s="16">
        <v>0.05</v>
      </c>
      <c r="Y28" s="16">
        <v>0.05</v>
      </c>
      <c r="Z28" s="16">
        <v>0.05</v>
      </c>
      <c r="AA28" s="16">
        <v>0.05</v>
      </c>
      <c r="AB28" s="16">
        <v>0.05</v>
      </c>
      <c r="AC28" s="16">
        <v>0.05</v>
      </c>
      <c r="AD28" s="16">
        <v>0.05</v>
      </c>
      <c r="AE28" s="16">
        <v>0.05</v>
      </c>
      <c r="AF28" s="16">
        <v>0.05</v>
      </c>
      <c r="AG28" s="16">
        <v>0.05</v>
      </c>
      <c r="AH28" s="16">
        <v>0.05</v>
      </c>
      <c r="AI28" s="16">
        <v>0.05</v>
      </c>
      <c r="AK28" s="2" t="s">
        <v>390</v>
      </c>
      <c r="AL28" s="16">
        <f>1/(1+$AL$23)^$AI$36</f>
        <v>0.152208589618795</v>
      </c>
    </row>
    <row r="29" spans="2:38">
      <c r="B29" s="2" t="s">
        <v>391</v>
      </c>
      <c r="F29" s="16">
        <f t="shared" ref="F29:AI29" si="59">-F27/(F7-E7)</f>
        <v>0.399965532593242</v>
      </c>
      <c r="G29" s="16">
        <f t="shared" si="59"/>
        <v>0.264469145266386</v>
      </c>
      <c r="H29" s="16">
        <f t="shared" si="59"/>
        <v>0.347404266255461</v>
      </c>
      <c r="I29" s="16">
        <f t="shared" si="59"/>
        <v>0.174659009332376</v>
      </c>
      <c r="J29" s="16">
        <f t="shared" si="59"/>
        <v>1.99823008849558</v>
      </c>
      <c r="K29" s="16">
        <f t="shared" si="59"/>
        <v>0.0994281420879075</v>
      </c>
      <c r="L29" s="16">
        <f t="shared" si="59"/>
        <v>0.230025608194622</v>
      </c>
      <c r="M29" s="16">
        <f t="shared" si="59"/>
        <v>1.29424460431655</v>
      </c>
      <c r="N29" s="16">
        <f t="shared" si="59"/>
        <v>0.492231455881425</v>
      </c>
      <c r="O29" s="16">
        <f t="shared" si="59"/>
        <v>0.714157246877465</v>
      </c>
      <c r="P29" s="16">
        <f t="shared" si="59"/>
        <v>1.71666666666666</v>
      </c>
      <c r="Q29" s="16">
        <f t="shared" si="59"/>
        <v>1.71666666666667</v>
      </c>
      <c r="R29" s="16">
        <f t="shared" si="59"/>
        <v>1.71666666666667</v>
      </c>
      <c r="S29" s="16">
        <f t="shared" si="59"/>
        <v>1.71666666666667</v>
      </c>
      <c r="T29" s="16">
        <f t="shared" si="59"/>
        <v>1.71666666666667</v>
      </c>
      <c r="U29" s="16">
        <f t="shared" si="59"/>
        <v>1.71666666666666</v>
      </c>
      <c r="V29" s="16">
        <f t="shared" si="59"/>
        <v>1.71666666666667</v>
      </c>
      <c r="W29" s="16">
        <f t="shared" si="59"/>
        <v>1.71666666666667</v>
      </c>
      <c r="X29" s="16">
        <f t="shared" si="59"/>
        <v>1.71666666666666</v>
      </c>
      <c r="Y29" s="16">
        <f t="shared" si="59"/>
        <v>1.71666666666666</v>
      </c>
      <c r="Z29" s="16">
        <f t="shared" si="59"/>
        <v>1.71666666666666</v>
      </c>
      <c r="AA29" s="16">
        <f t="shared" si="59"/>
        <v>1.71666666666667</v>
      </c>
      <c r="AB29" s="16">
        <f t="shared" si="59"/>
        <v>1.71666666666666</v>
      </c>
      <c r="AC29" s="16">
        <f t="shared" si="59"/>
        <v>1.71666666666666</v>
      </c>
      <c r="AD29" s="16">
        <f t="shared" si="59"/>
        <v>1.71666666666667</v>
      </c>
      <c r="AE29" s="16">
        <f t="shared" si="59"/>
        <v>1.71666666666667</v>
      </c>
      <c r="AF29" s="16">
        <f t="shared" si="59"/>
        <v>1.71666666666666</v>
      </c>
      <c r="AG29" s="16">
        <f t="shared" si="59"/>
        <v>1.71666666666667</v>
      </c>
      <c r="AH29" s="16">
        <f t="shared" si="59"/>
        <v>1.71666666666666</v>
      </c>
      <c r="AI29" s="16">
        <f t="shared" si="59"/>
        <v>1.71666666666667</v>
      </c>
      <c r="AK29" s="8" t="s">
        <v>392</v>
      </c>
      <c r="AL29" s="96">
        <f>AL27*AL28</f>
        <v>2973.29557465483</v>
      </c>
    </row>
    <row r="31" ht="26" spans="2:38">
      <c r="B31" s="2" t="s">
        <v>393</v>
      </c>
      <c r="E31" s="110">
        <f>MOD!F379</f>
        <v>10.337</v>
      </c>
      <c r="F31" s="110">
        <f>MOD!G379</f>
        <v>-24.2</v>
      </c>
      <c r="G31" s="110">
        <f>MOD!H379</f>
        <v>-50.2</v>
      </c>
      <c r="H31" s="110">
        <f>MOD!I379</f>
        <v>-115.3</v>
      </c>
      <c r="I31" s="110">
        <f>MOD!J379</f>
        <v>-142</v>
      </c>
      <c r="J31" s="110">
        <f>MOD!K379</f>
        <v>66.3</v>
      </c>
      <c r="K31" s="110">
        <f>MOD!O379</f>
        <v>-338.1</v>
      </c>
      <c r="L31" s="110">
        <f>MOD!S379</f>
        <v>-650.3</v>
      </c>
      <c r="M31" s="110">
        <f>MOD!W379</f>
        <v>-507.6</v>
      </c>
      <c r="N31" s="110">
        <v>0</v>
      </c>
      <c r="O31" s="110">
        <v>0</v>
      </c>
      <c r="P31" s="110">
        <v>0</v>
      </c>
      <c r="Q31" s="110">
        <v>0</v>
      </c>
      <c r="R31" s="110">
        <v>0</v>
      </c>
      <c r="S31" s="110">
        <v>0</v>
      </c>
      <c r="T31" s="110">
        <v>0</v>
      </c>
      <c r="U31" s="110">
        <v>0</v>
      </c>
      <c r="V31" s="110">
        <v>0</v>
      </c>
      <c r="W31" s="110">
        <v>0</v>
      </c>
      <c r="X31" s="110">
        <v>0</v>
      </c>
      <c r="Y31" s="110">
        <v>0</v>
      </c>
      <c r="Z31" s="110">
        <v>0</v>
      </c>
      <c r="AA31" s="110">
        <v>0</v>
      </c>
      <c r="AB31" s="110">
        <v>0</v>
      </c>
      <c r="AC31" s="110">
        <v>0</v>
      </c>
      <c r="AD31" s="110">
        <v>0</v>
      </c>
      <c r="AE31" s="110">
        <v>0</v>
      </c>
      <c r="AF31" s="110">
        <v>0</v>
      </c>
      <c r="AG31" s="110">
        <v>0</v>
      </c>
      <c r="AH31" s="110">
        <v>0</v>
      </c>
      <c r="AI31" s="110">
        <v>0</v>
      </c>
      <c r="AK31" s="119" t="s">
        <v>394</v>
      </c>
      <c r="AL31" s="119"/>
    </row>
    <row r="32" spans="37:38">
      <c r="AK32" s="1" t="s">
        <v>395</v>
      </c>
      <c r="AL32" s="147">
        <v>33100</v>
      </c>
    </row>
    <row r="33" spans="2:38">
      <c r="B33" s="127" t="s">
        <v>396</v>
      </c>
      <c r="C33" s="127"/>
      <c r="D33" s="127"/>
      <c r="E33" s="143">
        <f>+IFERROR(SUM(E22,E24,E27,E31),"n/a")</f>
        <v>83.432</v>
      </c>
      <c r="F33" s="143">
        <f t="shared" ref="F33:AI33" si="60">+IFERROR(SUM(F22,F24,F27,F31),"n/a")</f>
        <v>15.0999999999999</v>
      </c>
      <c r="G33" s="143">
        <f t="shared" si="60"/>
        <v>52.2000000000002</v>
      </c>
      <c r="H33" s="143">
        <f t="shared" si="60"/>
        <v>-275.1</v>
      </c>
      <c r="I33" s="143">
        <f t="shared" si="60"/>
        <v>393.5</v>
      </c>
      <c r="J33" s="143">
        <f t="shared" si="60"/>
        <v>707.2</v>
      </c>
      <c r="K33" s="144">
        <f t="shared" si="60"/>
        <v>480.7</v>
      </c>
      <c r="L33" s="144">
        <f t="shared" si="60"/>
        <v>255.2</v>
      </c>
      <c r="M33" s="144">
        <f t="shared" si="60"/>
        <v>579.3</v>
      </c>
      <c r="N33" s="144">
        <f t="shared" si="60"/>
        <v>803.873658067061</v>
      </c>
      <c r="O33" s="144">
        <f t="shared" si="60"/>
        <v>909.339919086953</v>
      </c>
      <c r="P33" s="144">
        <f t="shared" si="60"/>
        <v>1100.63877889951</v>
      </c>
      <c r="Q33" s="144">
        <f t="shared" si="60"/>
        <v>1128.6296943331</v>
      </c>
      <c r="R33" s="144">
        <f t="shared" si="60"/>
        <v>1159.08770278772</v>
      </c>
      <c r="S33" s="144">
        <f t="shared" si="60"/>
        <v>1192.58577690627</v>
      </c>
      <c r="T33" s="144">
        <f t="shared" si="60"/>
        <v>1204.68120032319</v>
      </c>
      <c r="U33" s="144">
        <f t="shared" si="60"/>
        <v>1239.93771633288</v>
      </c>
      <c r="V33" s="144">
        <f t="shared" si="60"/>
        <v>1276.25192782287</v>
      </c>
      <c r="W33" s="144">
        <f t="shared" si="60"/>
        <v>1313.65556565756</v>
      </c>
      <c r="X33" s="144">
        <f t="shared" si="60"/>
        <v>1352.18131262728</v>
      </c>
      <c r="Y33" s="144">
        <f t="shared" si="60"/>
        <v>1391.8628320061</v>
      </c>
      <c r="Z33" s="144">
        <f t="shared" si="60"/>
        <v>1432.73479696628</v>
      </c>
      <c r="AA33" s="144">
        <f t="shared" si="60"/>
        <v>1474.83292087527</v>
      </c>
      <c r="AB33" s="144">
        <f t="shared" si="60"/>
        <v>1518.19398850153</v>
      </c>
      <c r="AC33" s="144">
        <f t="shared" si="60"/>
        <v>1562.85588815658</v>
      </c>
      <c r="AD33" s="144">
        <f t="shared" si="60"/>
        <v>1608.85764480127</v>
      </c>
      <c r="AE33" s="144">
        <f t="shared" si="60"/>
        <v>1656.23945414531</v>
      </c>
      <c r="AF33" s="144">
        <f t="shared" si="60"/>
        <v>1705.04271776967</v>
      </c>
      <c r="AG33" s="144">
        <f t="shared" si="60"/>
        <v>1755.31007930276</v>
      </c>
      <c r="AH33" s="144">
        <f t="shared" si="60"/>
        <v>1807.08546168184</v>
      </c>
      <c r="AI33" s="144">
        <f t="shared" si="60"/>
        <v>1860.4141055323</v>
      </c>
      <c r="AK33" s="1" t="s">
        <v>397</v>
      </c>
      <c r="AL33" s="147">
        <v>1255</v>
      </c>
    </row>
    <row r="34" spans="2:38">
      <c r="B34" s="2" t="s">
        <v>40</v>
      </c>
      <c r="E34" s="16">
        <f t="shared" ref="E34:AI34" si="61">E33/E7</f>
        <v>0.0458001857654481</v>
      </c>
      <c r="F34" s="16">
        <f t="shared" si="61"/>
        <v>0.00634800521293139</v>
      </c>
      <c r="G34" s="16">
        <f t="shared" si="61"/>
        <v>0.0165116720440312</v>
      </c>
      <c r="H34" s="16">
        <f t="shared" si="61"/>
        <v>-0.0583110771969986</v>
      </c>
      <c r="I34" s="16">
        <f t="shared" si="61"/>
        <v>0.0643941873404465</v>
      </c>
      <c r="J34" s="16">
        <f t="shared" si="61"/>
        <v>0.114669304233619</v>
      </c>
      <c r="K34" s="16">
        <f t="shared" si="61"/>
        <v>0.0561368679201214</v>
      </c>
      <c r="L34" s="16">
        <f t="shared" si="61"/>
        <v>0.025204938271605</v>
      </c>
      <c r="M34" s="16">
        <f t="shared" si="61"/>
        <v>0.0549516220830962</v>
      </c>
      <c r="N34" s="16">
        <f t="shared" si="61"/>
        <v>0.0679403905765097</v>
      </c>
      <c r="O34" s="16">
        <f t="shared" si="61"/>
        <v>0.0714732558960594</v>
      </c>
      <c r="P34" s="16">
        <f t="shared" si="61"/>
        <v>0.0839894805740164</v>
      </c>
      <c r="Q34" s="16">
        <f t="shared" si="61"/>
        <v>0.0836169520392813</v>
      </c>
      <c r="R34" s="16">
        <f t="shared" si="61"/>
        <v>0.0833723290622453</v>
      </c>
      <c r="S34" s="16">
        <f t="shared" si="61"/>
        <v>0.0832833213452734</v>
      </c>
      <c r="T34" s="16">
        <f t="shared" si="61"/>
        <v>0.0816776660649235</v>
      </c>
      <c r="U34" s="16">
        <f t="shared" si="61"/>
        <v>0.0816194816164306</v>
      </c>
      <c r="V34" s="16">
        <f t="shared" si="61"/>
        <v>0.0815629918606122</v>
      </c>
      <c r="W34" s="16">
        <f t="shared" si="61"/>
        <v>0.0815081474374876</v>
      </c>
      <c r="X34" s="16">
        <f t="shared" si="61"/>
        <v>0.0814549004247452</v>
      </c>
      <c r="Y34" s="16">
        <f t="shared" si="61"/>
        <v>0.0814032042958692</v>
      </c>
      <c r="Z34" s="16">
        <f t="shared" si="61"/>
        <v>0.0813530138794846</v>
      </c>
      <c r="AA34" s="16">
        <f t="shared" si="61"/>
        <v>0.081304285319888</v>
      </c>
      <c r="AB34" s="16">
        <f t="shared" si="61"/>
        <v>0.0812569760387262</v>
      </c>
      <c r="AC34" s="16">
        <f t="shared" si="61"/>
        <v>0.0812110446977924</v>
      </c>
      <c r="AD34" s="16">
        <f t="shared" si="61"/>
        <v>0.0811664511629052</v>
      </c>
      <c r="AE34" s="16">
        <f t="shared" si="61"/>
        <v>0.0811231564688401</v>
      </c>
      <c r="AF34" s="16">
        <f t="shared" si="61"/>
        <v>0.0810811227852816</v>
      </c>
      <c r="AG34" s="16">
        <f t="shared" si="61"/>
        <v>0.0810403133837685</v>
      </c>
      <c r="AH34" s="16">
        <f t="shared" si="61"/>
        <v>0.0810006926056005</v>
      </c>
      <c r="AI34" s="16">
        <f t="shared" si="61"/>
        <v>0.0809622258306801</v>
      </c>
      <c r="AK34" s="1" t="s">
        <v>398</v>
      </c>
      <c r="AL34" s="112">
        <v>0.02</v>
      </c>
    </row>
    <row r="35" spans="37:38">
      <c r="AK35" s="1" t="s">
        <v>399</v>
      </c>
      <c r="AL35" s="112">
        <v>0.05</v>
      </c>
    </row>
    <row r="36" spans="2:35">
      <c r="B36" s="2" t="s">
        <v>400</v>
      </c>
      <c r="M36" s="2">
        <v>0</v>
      </c>
      <c r="N36" s="2">
        <f>M36+1</f>
        <v>1</v>
      </c>
      <c r="O36" s="2">
        <f t="shared" ref="O36:AI36" si="62">N36+1</f>
        <v>2</v>
      </c>
      <c r="P36" s="2">
        <f t="shared" si="62"/>
        <v>3</v>
      </c>
      <c r="Q36" s="2">
        <f t="shared" si="62"/>
        <v>4</v>
      </c>
      <c r="R36" s="2">
        <f t="shared" si="62"/>
        <v>5</v>
      </c>
      <c r="S36" s="2">
        <f t="shared" si="62"/>
        <v>6</v>
      </c>
      <c r="T36" s="2">
        <f t="shared" si="62"/>
        <v>7</v>
      </c>
      <c r="U36" s="2">
        <f t="shared" si="62"/>
        <v>8</v>
      </c>
      <c r="V36" s="2">
        <f t="shared" si="62"/>
        <v>9</v>
      </c>
      <c r="W36" s="2">
        <f t="shared" si="62"/>
        <v>10</v>
      </c>
      <c r="X36" s="2">
        <f t="shared" si="62"/>
        <v>11</v>
      </c>
      <c r="Y36" s="2">
        <f t="shared" si="62"/>
        <v>12</v>
      </c>
      <c r="Z36" s="2">
        <f t="shared" si="62"/>
        <v>13</v>
      </c>
      <c r="AA36" s="2">
        <f t="shared" si="62"/>
        <v>14</v>
      </c>
      <c r="AB36" s="2">
        <f t="shared" si="62"/>
        <v>15</v>
      </c>
      <c r="AC36" s="2">
        <f t="shared" si="62"/>
        <v>16</v>
      </c>
      <c r="AD36" s="2">
        <f t="shared" si="62"/>
        <v>17</v>
      </c>
      <c r="AE36" s="2">
        <f t="shared" si="62"/>
        <v>18</v>
      </c>
      <c r="AF36" s="2">
        <f t="shared" si="62"/>
        <v>19</v>
      </c>
      <c r="AG36" s="2">
        <f t="shared" si="62"/>
        <v>20</v>
      </c>
      <c r="AH36" s="2">
        <f t="shared" si="62"/>
        <v>21</v>
      </c>
      <c r="AI36" s="2">
        <f t="shared" si="62"/>
        <v>22</v>
      </c>
    </row>
    <row r="37" ht="26" spans="2:38">
      <c r="B37" s="2" t="s">
        <v>401</v>
      </c>
      <c r="M37" s="145">
        <f t="shared" ref="M37:AI37" si="63">1/(1+$AL$23)^M36</f>
        <v>1</v>
      </c>
      <c r="N37" s="145">
        <f t="shared" si="63"/>
        <v>0.917990408836208</v>
      </c>
      <c r="O37" s="145">
        <f t="shared" si="63"/>
        <v>0.842706390715269</v>
      </c>
      <c r="P37" s="145">
        <f t="shared" si="63"/>
        <v>0.773596384141595</v>
      </c>
      <c r="Q37" s="145">
        <f t="shared" si="63"/>
        <v>0.710154060952356</v>
      </c>
      <c r="R37" s="145">
        <f t="shared" si="63"/>
        <v>0.651914616750347</v>
      </c>
      <c r="S37" s="145">
        <f t="shared" si="63"/>
        <v>0.598451365556951</v>
      </c>
      <c r="T37" s="145">
        <f t="shared" si="63"/>
        <v>0.549372613736213</v>
      </c>
      <c r="U37" s="145">
        <f t="shared" si="63"/>
        <v>0.504318790287122</v>
      </c>
      <c r="V37" s="145">
        <f t="shared" si="63"/>
        <v>0.462959812479457</v>
      </c>
      <c r="W37" s="145">
        <f t="shared" si="63"/>
        <v>0.424992667532751</v>
      </c>
      <c r="X37" s="145">
        <f t="shared" si="63"/>
        <v>0.390139192620781</v>
      </c>
      <c r="Y37" s="145">
        <f t="shared" si="63"/>
        <v>0.358144036936979</v>
      </c>
      <c r="Z37" s="145">
        <f t="shared" si="63"/>
        <v>0.328772790890028</v>
      </c>
      <c r="AA37" s="145">
        <f t="shared" si="63"/>
        <v>0.301810268723358</v>
      </c>
      <c r="AB37" s="145">
        <f t="shared" si="63"/>
        <v>0.277058931976321</v>
      </c>
      <c r="AC37" s="145">
        <f t="shared" si="63"/>
        <v>0.254337442236666</v>
      </c>
      <c r="AD37" s="145">
        <f t="shared" si="63"/>
        <v>0.233479332581193</v>
      </c>
      <c r="AE37" s="145">
        <f t="shared" si="63"/>
        <v>0.214331787971014</v>
      </c>
      <c r="AF37" s="145">
        <f t="shared" si="63"/>
        <v>0.196754525666107</v>
      </c>
      <c r="AG37" s="145">
        <f t="shared" si="63"/>
        <v>0.180618767456604</v>
      </c>
      <c r="AH37" s="145">
        <f t="shared" si="63"/>
        <v>0.16580629618098</v>
      </c>
      <c r="AI37" s="145">
        <f t="shared" si="63"/>
        <v>0.152208589618795</v>
      </c>
      <c r="AK37" s="104" t="s">
        <v>402</v>
      </c>
      <c r="AL37" s="104"/>
    </row>
    <row r="38" spans="37:38">
      <c r="AK38" s="2" t="s">
        <v>403</v>
      </c>
      <c r="AL38" s="117">
        <f>SUM(N39:AI39)</f>
        <v>11789.0728493936</v>
      </c>
    </row>
    <row r="39" spans="2:38">
      <c r="B39" s="127" t="s">
        <v>404</v>
      </c>
      <c r="C39" s="127"/>
      <c r="D39" s="127"/>
      <c r="E39" s="127"/>
      <c r="F39" s="127"/>
      <c r="G39" s="127"/>
      <c r="H39" s="127"/>
      <c r="I39" s="127"/>
      <c r="J39" s="127"/>
      <c r="K39" s="127"/>
      <c r="L39" s="127"/>
      <c r="M39" s="144"/>
      <c r="N39" s="144">
        <f>N37*N33</f>
        <v>737.948308021639</v>
      </c>
      <c r="O39" s="144">
        <f t="shared" ref="O39:AI39" si="64">O37*O33</f>
        <v>766.306561147081</v>
      </c>
      <c r="P39" s="144">
        <f t="shared" si="64"/>
        <v>851.450179602684</v>
      </c>
      <c r="Q39" s="144">
        <f t="shared" si="64"/>
        <v>801.500960742068</v>
      </c>
      <c r="R39" s="144">
        <f t="shared" si="64"/>
        <v>755.626215542896</v>
      </c>
      <c r="S39" s="144">
        <f t="shared" si="64"/>
        <v>713.704586733355</v>
      </c>
      <c r="T39" s="144">
        <f t="shared" si="64"/>
        <v>661.818859740427</v>
      </c>
      <c r="U39" s="144">
        <f t="shared" si="64"/>
        <v>625.323889132376</v>
      </c>
      <c r="V39" s="144">
        <f t="shared" si="64"/>
        <v>590.853353181421</v>
      </c>
      <c r="W39" s="144">
        <f t="shared" si="64"/>
        <v>558.29398306805</v>
      </c>
      <c r="X39" s="144">
        <f t="shared" si="64"/>
        <v>527.538925585316</v>
      </c>
      <c r="Y39" s="144">
        <f t="shared" si="64"/>
        <v>498.487373517201</v>
      </c>
      <c r="Z39" s="144">
        <f t="shared" si="64"/>
        <v>471.044217803862</v>
      </c>
      <c r="AA39" s="144">
        <f t="shared" si="64"/>
        <v>445.11972017142</v>
      </c>
      <c r="AB39" s="144">
        <f t="shared" si="64"/>
        <v>420.629204987105</v>
      </c>
      <c r="AC39" s="144">
        <f t="shared" si="64"/>
        <v>397.492769178257</v>
      </c>
      <c r="AD39" s="144">
        <f t="shared" si="64"/>
        <v>375.635009126351</v>
      </c>
      <c r="AE39" s="144">
        <f t="shared" si="64"/>
        <v>354.984763515101</v>
      </c>
      <c r="AF39" s="144">
        <f t="shared" si="64"/>
        <v>335.474871175221</v>
      </c>
      <c r="AG39" s="144">
        <f t="shared" si="64"/>
        <v>317.041943027818</v>
      </c>
      <c r="AH39" s="144">
        <f t="shared" si="64"/>
        <v>299.626147283962</v>
      </c>
      <c r="AI39" s="144">
        <f t="shared" si="64"/>
        <v>283.171007109983</v>
      </c>
      <c r="AK39" s="88" t="s">
        <v>405</v>
      </c>
      <c r="AL39" s="117">
        <f>AL29</f>
        <v>2973.29557465483</v>
      </c>
    </row>
    <row r="40" spans="37:38">
      <c r="AK40" s="52" t="s">
        <v>406</v>
      </c>
      <c r="AL40" s="117">
        <f>AL38+AL39</f>
        <v>14762.3684240484</v>
      </c>
    </row>
    <row r="41" spans="2:38">
      <c r="B41" s="2" t="s">
        <v>407</v>
      </c>
      <c r="M41" s="117"/>
      <c r="N41" s="117">
        <f>M41+N39</f>
        <v>737.948308021639</v>
      </c>
      <c r="O41" s="117">
        <f t="shared" ref="O41:AI41" si="65">N41+O39</f>
        <v>1504.25486916872</v>
      </c>
      <c r="P41" s="117">
        <f t="shared" si="65"/>
        <v>2355.7050487714</v>
      </c>
      <c r="Q41" s="117">
        <f t="shared" si="65"/>
        <v>3157.20600951347</v>
      </c>
      <c r="R41" s="117">
        <f t="shared" si="65"/>
        <v>3912.83222505637</v>
      </c>
      <c r="S41" s="117">
        <f t="shared" si="65"/>
        <v>4626.53681178972</v>
      </c>
      <c r="T41" s="117">
        <f t="shared" si="65"/>
        <v>5288.35567153015</v>
      </c>
      <c r="U41" s="117">
        <f t="shared" si="65"/>
        <v>5913.67956066253</v>
      </c>
      <c r="V41" s="117">
        <f t="shared" si="65"/>
        <v>6504.53291384395</v>
      </c>
      <c r="W41" s="117">
        <f t="shared" si="65"/>
        <v>7062.826896912</v>
      </c>
      <c r="X41" s="117">
        <f t="shared" si="65"/>
        <v>7590.36582249731</v>
      </c>
      <c r="Y41" s="117">
        <f t="shared" si="65"/>
        <v>8088.85319601451</v>
      </c>
      <c r="Z41" s="117">
        <f t="shared" si="65"/>
        <v>8559.89741381838</v>
      </c>
      <c r="AA41" s="117">
        <f t="shared" si="65"/>
        <v>9005.0171339898</v>
      </c>
      <c r="AB41" s="117">
        <f t="shared" si="65"/>
        <v>9425.6463389769</v>
      </c>
      <c r="AC41" s="117">
        <f t="shared" si="65"/>
        <v>9823.13910815516</v>
      </c>
      <c r="AD41" s="117">
        <f t="shared" si="65"/>
        <v>10198.7741172815</v>
      </c>
      <c r="AE41" s="117">
        <f t="shared" si="65"/>
        <v>10553.7588807966</v>
      </c>
      <c r="AF41" s="117">
        <f t="shared" si="65"/>
        <v>10889.2337519718</v>
      </c>
      <c r="AG41" s="117">
        <f t="shared" si="65"/>
        <v>11206.2756949997</v>
      </c>
      <c r="AH41" s="117">
        <f t="shared" si="65"/>
        <v>11505.9018422836</v>
      </c>
      <c r="AI41" s="117">
        <f t="shared" si="65"/>
        <v>11789.0728493936</v>
      </c>
      <c r="AK41" s="88" t="s">
        <v>408</v>
      </c>
      <c r="AL41" s="117">
        <f>AL11</f>
        <v>5037.2</v>
      </c>
    </row>
    <row r="42" spans="2:38">
      <c r="B42" s="2" t="s">
        <v>409</v>
      </c>
      <c r="M42" s="16"/>
      <c r="N42" s="16">
        <f t="shared" ref="N42:AI42" si="66">N41/$AL$13</f>
        <v>0.0862436822703259</v>
      </c>
      <c r="O42" s="16">
        <f t="shared" si="66"/>
        <v>0.175801580652684</v>
      </c>
      <c r="P42" s="16">
        <f t="shared" si="66"/>
        <v>0.275310174900335</v>
      </c>
      <c r="Q42" s="16">
        <f t="shared" si="66"/>
        <v>0.368981226715488</v>
      </c>
      <c r="R42" s="16">
        <f t="shared" si="66"/>
        <v>0.457290917977087</v>
      </c>
      <c r="S42" s="16">
        <f t="shared" si="66"/>
        <v>0.540701247595054</v>
      </c>
      <c r="T42" s="16">
        <f t="shared" si="66"/>
        <v>0.618047715958105</v>
      </c>
      <c r="U42" s="16">
        <f t="shared" si="66"/>
        <v>0.691129033747095</v>
      </c>
      <c r="V42" s="16">
        <f t="shared" si="66"/>
        <v>0.760181795717302</v>
      </c>
      <c r="W42" s="16">
        <f t="shared" si="66"/>
        <v>0.825429358948714</v>
      </c>
      <c r="X42" s="16">
        <f t="shared" si="66"/>
        <v>0.887082592635748</v>
      </c>
      <c r="Y42" s="16">
        <f t="shared" si="66"/>
        <v>0.945340584679448</v>
      </c>
      <c r="Z42" s="16">
        <f t="shared" si="66"/>
        <v>1.0003913076284</v>
      </c>
      <c r="AA42" s="16">
        <f t="shared" si="66"/>
        <v>1.05241224636006</v>
      </c>
      <c r="AB42" s="16">
        <f t="shared" si="66"/>
        <v>1.10157098974925</v>
      </c>
      <c r="AC42" s="16">
        <f t="shared" si="66"/>
        <v>1.14802578843518</v>
      </c>
      <c r="AD42" s="16">
        <f t="shared" si="66"/>
        <v>1.19192608067049</v>
      </c>
      <c r="AE42" s="16">
        <f t="shared" si="66"/>
        <v>1.23341298811727</v>
      </c>
      <c r="AF42" s="16">
        <f t="shared" si="66"/>
        <v>1.27261978334237</v>
      </c>
      <c r="AG42" s="16">
        <f t="shared" si="66"/>
        <v>1.30967233065989</v>
      </c>
      <c r="AH42" s="16">
        <f t="shared" si="66"/>
        <v>1.34468950187005</v>
      </c>
      <c r="AI42" s="16">
        <f t="shared" si="66"/>
        <v>1.37778356835126</v>
      </c>
      <c r="AK42" s="8" t="s">
        <v>410</v>
      </c>
      <c r="AL42" s="117">
        <f>AL40-AL41</f>
        <v>9725.16842404842</v>
      </c>
    </row>
    <row r="44" spans="37:38">
      <c r="AK44" s="127" t="s">
        <v>411</v>
      </c>
      <c r="AL44" s="138">
        <f>AL42/AL7</f>
        <v>1.87630980597604</v>
      </c>
    </row>
    <row r="45" spans="37:38">
      <c r="AK45" s="8" t="s">
        <v>89</v>
      </c>
      <c r="AL45" s="97">
        <f>AL44/AL6-1</f>
        <v>1.76334286594409</v>
      </c>
    </row>
    <row r="47" ht="26" spans="37:38">
      <c r="AK47" s="119" t="s">
        <v>412</v>
      </c>
      <c r="AL47" s="119"/>
    </row>
    <row r="48" spans="37:38">
      <c r="AK48" s="2" t="s">
        <v>413</v>
      </c>
      <c r="AL48" s="99">
        <f>MOD!$AA$242</f>
        <v>0.0857478235613915</v>
      </c>
    </row>
    <row r="49" spans="37:38">
      <c r="AK49" s="2" t="s">
        <v>414</v>
      </c>
      <c r="AL49" s="99">
        <f>MOD!$AB$242</f>
        <v>0.100620925169163</v>
      </c>
    </row>
    <row r="50" spans="37:38">
      <c r="AK50" s="8" t="s">
        <v>415</v>
      </c>
      <c r="AL50" s="148">
        <f>AL44/AL48</f>
        <v>21.8817193025627</v>
      </c>
    </row>
    <row r="51" spans="37:38">
      <c r="AK51" s="8" t="s">
        <v>416</v>
      </c>
      <c r="AL51" s="148">
        <f>AL45/AL49</f>
        <v>17.524613920808</v>
      </c>
    </row>
    <row r="53" ht="26" spans="37:38">
      <c r="AK53" s="119" t="s">
        <v>417</v>
      </c>
      <c r="AL53" s="119"/>
    </row>
    <row r="54" spans="37:38">
      <c r="AK54" s="8" t="s">
        <v>23</v>
      </c>
      <c r="AL54" s="98">
        <f>AL6</f>
        <v>0.679</v>
      </c>
    </row>
    <row r="55" spans="37:38">
      <c r="AK55" s="2" t="s">
        <v>413</v>
      </c>
      <c r="AL55" s="99">
        <f>MOD!$AA$242</f>
        <v>0.0857478235613915</v>
      </c>
    </row>
    <row r="56" spans="37:38">
      <c r="AK56" s="2" t="s">
        <v>414</v>
      </c>
      <c r="AL56" s="99">
        <f>MOD!$AB$242</f>
        <v>0.100620925169163</v>
      </c>
    </row>
    <row r="57" spans="37:38">
      <c r="AK57" s="8" t="s">
        <v>415</v>
      </c>
      <c r="AL57" s="148">
        <f>$AL$54/AL55</f>
        <v>7.91856832977069</v>
      </c>
    </row>
    <row r="58" spans="37:38">
      <c r="AK58" s="8" t="s">
        <v>416</v>
      </c>
      <c r="AL58" s="148">
        <f>$AL$54/AL56</f>
        <v>6.7480993526791</v>
      </c>
    </row>
    <row r="78" ht="26" spans="2:38">
      <c r="B78" s="107" t="s">
        <v>418</v>
      </c>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c r="AH78" s="149"/>
      <c r="AI78" s="149"/>
      <c r="AK78" s="119" t="s">
        <v>419</v>
      </c>
      <c r="AL78" s="119"/>
    </row>
    <row r="80" spans="2:38">
      <c r="B80" s="8" t="str">
        <f>B7</f>
        <v>Revenue</v>
      </c>
      <c r="C80" s="8"/>
      <c r="D80" s="8"/>
      <c r="E80" s="142"/>
      <c r="F80" s="142"/>
      <c r="G80" s="142"/>
      <c r="H80" s="142"/>
      <c r="I80" s="142"/>
      <c r="J80" s="142"/>
      <c r="K80" s="142"/>
      <c r="L80" s="142"/>
      <c r="M80" s="142">
        <f>M7</f>
        <v>10542</v>
      </c>
      <c r="N80" s="142">
        <f>M80*(1+N81)</f>
        <v>11596.2</v>
      </c>
      <c r="O80" s="142">
        <f t="shared" ref="O80:P80" si="67">N80*(1+O81)</f>
        <v>12755.82</v>
      </c>
      <c r="P80" s="142">
        <f t="shared" si="67"/>
        <v>13393.611</v>
      </c>
      <c r="Q80" s="142">
        <f t="shared" ref="Q80" si="68">P80*(1+Q81)</f>
        <v>14063.29155</v>
      </c>
      <c r="R80" s="142">
        <f t="shared" ref="R80" si="69">Q80*(1+R81)</f>
        <v>14766.4561275</v>
      </c>
      <c r="S80" s="142">
        <f t="shared" ref="S80" si="70">R80*(1+S81)</f>
        <v>15504.778933875</v>
      </c>
      <c r="T80" s="142">
        <f t="shared" ref="T80" si="71">S80*(1+T81)</f>
        <v>16280.0178805688</v>
      </c>
      <c r="U80" s="142">
        <f t="shared" ref="U80" si="72">T80*(1+U81)</f>
        <v>17094.0187745972</v>
      </c>
      <c r="V80" s="142">
        <f t="shared" ref="V80" si="73">U80*(1+V81)</f>
        <v>17948.7197133271</v>
      </c>
      <c r="W80" s="142">
        <f t="shared" ref="W80" si="74">V80*(1+W81)</f>
        <v>18846.1556989934</v>
      </c>
      <c r="X80" s="142">
        <f t="shared" ref="X80" si="75">W80*(1+X81)</f>
        <v>19788.4634839431</v>
      </c>
      <c r="Y80" s="142">
        <f t="shared" ref="Y80" si="76">X80*(1+Y81)</f>
        <v>20777.8866581402</v>
      </c>
      <c r="Z80" s="142">
        <f t="shared" ref="Z80" si="77">Y80*(1+Z81)</f>
        <v>21816.7809910473</v>
      </c>
      <c r="AA80" s="142">
        <f t="shared" ref="AA80" si="78">Z80*(1+AA81)</f>
        <v>22907.6200405996</v>
      </c>
      <c r="AB80" s="142">
        <f t="shared" ref="AB80" si="79">AA80*(1+AB81)</f>
        <v>24053.0010426296</v>
      </c>
      <c r="AC80" s="142">
        <f t="shared" ref="AC80" si="80">AB80*(1+AC81)</f>
        <v>25255.6510947611</v>
      </c>
      <c r="AD80" s="142">
        <f t="shared" ref="AD80" si="81">AC80*(1+AD81)</f>
        <v>26518.4336494991</v>
      </c>
      <c r="AE80" s="142">
        <f t="shared" ref="AE80" si="82">AD80*(1+AE81)</f>
        <v>27844.3553319741</v>
      </c>
      <c r="AF80" s="142">
        <f t="shared" ref="AF80" si="83">AE80*(1+AF81)</f>
        <v>29236.5730985728</v>
      </c>
      <c r="AG80" s="142">
        <f t="shared" ref="AG80" si="84">AF80*(1+AG81)</f>
        <v>30698.4017535014</v>
      </c>
      <c r="AH80" s="142">
        <f t="shared" ref="AH80" si="85">AG80*(1+AH81)</f>
        <v>32233.3218411765</v>
      </c>
      <c r="AI80" s="142">
        <f t="shared" ref="AI80" si="86">AH80*(1+AI81)</f>
        <v>33844.9879332353</v>
      </c>
      <c r="AK80" s="2" t="s">
        <v>420</v>
      </c>
      <c r="AL80" s="117">
        <f>SUM(N107:AI107)</f>
        <v>7628.32445494273</v>
      </c>
    </row>
    <row r="81" spans="2:38">
      <c r="B81" s="2" t="str">
        <f>B8</f>
        <v>% yoy</v>
      </c>
      <c r="E81" s="111"/>
      <c r="F81" s="111"/>
      <c r="G81" s="111"/>
      <c r="H81" s="111"/>
      <c r="I81" s="111"/>
      <c r="J81" s="111"/>
      <c r="K81" s="111"/>
      <c r="L81" s="111"/>
      <c r="M81" s="16">
        <f>M8</f>
        <v>0.0411851851851852</v>
      </c>
      <c r="N81" s="16">
        <v>0.1</v>
      </c>
      <c r="O81" s="16">
        <v>0.1</v>
      </c>
      <c r="P81" s="16">
        <v>0.05</v>
      </c>
      <c r="Q81" s="16">
        <v>0.05</v>
      </c>
      <c r="R81" s="16">
        <v>0.05</v>
      </c>
      <c r="S81" s="16">
        <v>0.05</v>
      </c>
      <c r="T81" s="16">
        <v>0.05</v>
      </c>
      <c r="U81" s="16">
        <v>0.05</v>
      </c>
      <c r="V81" s="16">
        <v>0.05</v>
      </c>
      <c r="W81" s="16">
        <v>0.05</v>
      </c>
      <c r="X81" s="16">
        <v>0.05</v>
      </c>
      <c r="Y81" s="16">
        <v>0.05</v>
      </c>
      <c r="Z81" s="16">
        <v>0.05</v>
      </c>
      <c r="AA81" s="16">
        <v>0.05</v>
      </c>
      <c r="AB81" s="16">
        <v>0.05</v>
      </c>
      <c r="AC81" s="16">
        <v>0.05</v>
      </c>
      <c r="AD81" s="16">
        <v>0.05</v>
      </c>
      <c r="AE81" s="16">
        <v>0.05</v>
      </c>
      <c r="AF81" s="16">
        <v>0.05</v>
      </c>
      <c r="AG81" s="16">
        <v>0.05</v>
      </c>
      <c r="AH81" s="16">
        <v>0.05</v>
      </c>
      <c r="AI81" s="16">
        <v>0.05</v>
      </c>
      <c r="AK81" s="2" t="s">
        <v>389</v>
      </c>
      <c r="AL81" s="146">
        <v>10.5</v>
      </c>
    </row>
    <row r="82" spans="5:38">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K82" s="2" t="s">
        <v>388</v>
      </c>
      <c r="AL82" s="117">
        <f>AI101*AL81</f>
        <v>13175.2357136889</v>
      </c>
    </row>
    <row r="83" spans="2:38">
      <c r="B83" s="8" t="str">
        <f>B10</f>
        <v>Operating profit</v>
      </c>
      <c r="C83" s="8"/>
      <c r="D83" s="8"/>
      <c r="E83" s="142"/>
      <c r="F83" s="142"/>
      <c r="G83" s="142"/>
      <c r="H83" s="142"/>
      <c r="I83" s="142"/>
      <c r="J83" s="142"/>
      <c r="K83" s="142"/>
      <c r="L83" s="142"/>
      <c r="M83" s="142">
        <f>M10</f>
        <v>927.2</v>
      </c>
      <c r="N83" s="142">
        <f>N84*N80</f>
        <v>1159.62</v>
      </c>
      <c r="O83" s="142">
        <f t="shared" ref="O83:Q83" si="87">O84*O80</f>
        <v>1275.582</v>
      </c>
      <c r="P83" s="142">
        <f t="shared" si="87"/>
        <v>669.68055</v>
      </c>
      <c r="Q83" s="142">
        <f t="shared" si="87"/>
        <v>703.1645775</v>
      </c>
      <c r="R83" s="142">
        <f t="shared" ref="R83:AI83" si="88">R84*R80</f>
        <v>738.322806375</v>
      </c>
      <c r="S83" s="142">
        <f t="shared" si="88"/>
        <v>775.23894669375</v>
      </c>
      <c r="T83" s="142">
        <f t="shared" si="88"/>
        <v>814.000894028438</v>
      </c>
      <c r="U83" s="142">
        <f t="shared" si="88"/>
        <v>854.70093872986</v>
      </c>
      <c r="V83" s="142">
        <f t="shared" si="88"/>
        <v>897.435985666353</v>
      </c>
      <c r="W83" s="142">
        <f t="shared" si="88"/>
        <v>942.307784949671</v>
      </c>
      <c r="X83" s="142">
        <f t="shared" si="88"/>
        <v>989.423174197154</v>
      </c>
      <c r="Y83" s="142">
        <f t="shared" si="88"/>
        <v>1038.89433290701</v>
      </c>
      <c r="Z83" s="142">
        <f t="shared" si="88"/>
        <v>1090.83904955236</v>
      </c>
      <c r="AA83" s="142">
        <f t="shared" si="88"/>
        <v>1145.38100202998</v>
      </c>
      <c r="AB83" s="142">
        <f t="shared" si="88"/>
        <v>1202.65005213148</v>
      </c>
      <c r="AC83" s="142">
        <f t="shared" si="88"/>
        <v>1262.78255473805</v>
      </c>
      <c r="AD83" s="142">
        <f t="shared" si="88"/>
        <v>1325.92168247496</v>
      </c>
      <c r="AE83" s="142">
        <f t="shared" si="88"/>
        <v>1392.2177665987</v>
      </c>
      <c r="AF83" s="142">
        <f t="shared" si="88"/>
        <v>1461.82865492864</v>
      </c>
      <c r="AG83" s="142">
        <f t="shared" si="88"/>
        <v>1534.92008767507</v>
      </c>
      <c r="AH83" s="142">
        <f t="shared" si="88"/>
        <v>1611.66609205883</v>
      </c>
      <c r="AI83" s="142">
        <f t="shared" si="88"/>
        <v>1692.24939666177</v>
      </c>
      <c r="AK83" s="2" t="s">
        <v>390</v>
      </c>
      <c r="AL83" s="16">
        <f>1/(1+$AL$23)^$AI$36</f>
        <v>0.152208589618795</v>
      </c>
    </row>
    <row r="84" s="16" customFormat="1" spans="2:38">
      <c r="B84" s="16" t="str">
        <f>B11</f>
        <v>% margin</v>
      </c>
      <c r="M84" s="16">
        <f>M83/M80</f>
        <v>0.0879529501043446</v>
      </c>
      <c r="N84" s="16">
        <v>0.1</v>
      </c>
      <c r="O84" s="16">
        <v>0.1</v>
      </c>
      <c r="P84" s="16">
        <v>0.05</v>
      </c>
      <c r="Q84" s="16">
        <v>0.05</v>
      </c>
      <c r="R84" s="16">
        <v>0.05</v>
      </c>
      <c r="S84" s="16">
        <v>0.05</v>
      </c>
      <c r="T84" s="16">
        <v>0.05</v>
      </c>
      <c r="U84" s="16">
        <v>0.05</v>
      </c>
      <c r="V84" s="16">
        <v>0.05</v>
      </c>
      <c r="W84" s="16">
        <v>0.05</v>
      </c>
      <c r="X84" s="16">
        <v>0.05</v>
      </c>
      <c r="Y84" s="16">
        <v>0.05</v>
      </c>
      <c r="Z84" s="16">
        <v>0.05</v>
      </c>
      <c r="AA84" s="16">
        <v>0.05</v>
      </c>
      <c r="AB84" s="16">
        <v>0.05</v>
      </c>
      <c r="AC84" s="16">
        <v>0.05</v>
      </c>
      <c r="AD84" s="16">
        <v>0.05</v>
      </c>
      <c r="AE84" s="16">
        <v>0.05</v>
      </c>
      <c r="AF84" s="16">
        <v>0.05</v>
      </c>
      <c r="AG84" s="16">
        <v>0.05</v>
      </c>
      <c r="AH84" s="16">
        <v>0.05</v>
      </c>
      <c r="AI84" s="16">
        <v>0.05</v>
      </c>
      <c r="AK84" s="8" t="s">
        <v>392</v>
      </c>
      <c r="AL84" s="99">
        <f>AL82*AL83</f>
        <v>2005.38404587576</v>
      </c>
    </row>
    <row r="85" s="16" customFormat="1" spans="2:39">
      <c r="B85" s="16" t="str">
        <f>B12</f>
        <v>% yoy</v>
      </c>
      <c r="M85" s="16">
        <f t="shared" ref="M85:AI85" si="89">M12</f>
        <v>0.150372208436725</v>
      </c>
      <c r="N85" s="16">
        <f t="shared" si="89"/>
        <v>-0.118763126833478</v>
      </c>
      <c r="O85" s="16">
        <f t="shared" si="89"/>
        <v>0.0928904015624317</v>
      </c>
      <c r="P85" s="16">
        <f t="shared" si="89"/>
        <v>0.173997592569926</v>
      </c>
      <c r="Q85" s="16">
        <f t="shared" si="89"/>
        <v>0.0299999999999998</v>
      </c>
      <c r="R85" s="16">
        <f t="shared" si="89"/>
        <v>0.0300000000000002</v>
      </c>
      <c r="S85" s="16">
        <f t="shared" si="89"/>
        <v>0.0299999999999998</v>
      </c>
      <c r="T85" s="16">
        <f t="shared" si="89"/>
        <v>0.03</v>
      </c>
      <c r="U85" s="16">
        <f t="shared" si="89"/>
        <v>0.03</v>
      </c>
      <c r="V85" s="16">
        <f t="shared" si="89"/>
        <v>0.03</v>
      </c>
      <c r="W85" s="16">
        <f t="shared" si="89"/>
        <v>0.03</v>
      </c>
      <c r="X85" s="16">
        <f t="shared" si="89"/>
        <v>0.0300000000000002</v>
      </c>
      <c r="Y85" s="16">
        <f t="shared" si="89"/>
        <v>0.03</v>
      </c>
      <c r="Z85" s="16">
        <f t="shared" si="89"/>
        <v>0.03</v>
      </c>
      <c r="AA85" s="16">
        <f t="shared" si="89"/>
        <v>0.03</v>
      </c>
      <c r="AB85" s="16">
        <f t="shared" si="89"/>
        <v>0.0300000000000002</v>
      </c>
      <c r="AC85" s="16">
        <f t="shared" si="89"/>
        <v>0.03</v>
      </c>
      <c r="AD85" s="16">
        <f t="shared" si="89"/>
        <v>0.03</v>
      </c>
      <c r="AE85" s="16">
        <f t="shared" si="89"/>
        <v>0.0299999999999998</v>
      </c>
      <c r="AF85" s="16">
        <f t="shared" si="89"/>
        <v>0.03</v>
      </c>
      <c r="AG85" s="16">
        <f t="shared" si="89"/>
        <v>0.03</v>
      </c>
      <c r="AH85" s="16">
        <f t="shared" si="89"/>
        <v>0.03</v>
      </c>
      <c r="AI85" s="16">
        <f t="shared" si="89"/>
        <v>0.03</v>
      </c>
      <c r="AK85" s="2" t="s">
        <v>421</v>
      </c>
      <c r="AL85" s="117">
        <f>AL80+AL84</f>
        <v>9633.70850081849</v>
      </c>
      <c r="AM85" s="2"/>
    </row>
    <row r="86" spans="5:35">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c r="AI86" s="111"/>
    </row>
    <row r="87" s="110" customFormat="1" spans="2:35">
      <c r="B87" s="110" t="str">
        <f>B19</f>
        <v>Tax expense</v>
      </c>
      <c r="M87" s="110">
        <f t="shared" ref="M87:AI87" si="90">M19</f>
        <v>-206.2</v>
      </c>
      <c r="N87" s="110">
        <f t="shared" si="90"/>
        <v>-178.209170732939</v>
      </c>
      <c r="O87" s="110">
        <f t="shared" si="90"/>
        <v>-197.502076500046</v>
      </c>
      <c r="P87" s="110">
        <f t="shared" si="90"/>
        <v>-209.809590797889</v>
      </c>
      <c r="Q87" s="110">
        <f t="shared" si="90"/>
        <v>-221.132126455221</v>
      </c>
      <c r="R87" s="110">
        <f t="shared" si="90"/>
        <v>-231.166972624252</v>
      </c>
      <c r="S87" s="110">
        <f t="shared" si="90"/>
        <v>-239.37653876806</v>
      </c>
      <c r="T87" s="110">
        <f t="shared" si="90"/>
        <v>-270.239984821375</v>
      </c>
      <c r="U87" s="110">
        <f t="shared" si="90"/>
        <v>-279.231104366016</v>
      </c>
      <c r="V87" s="110">
        <f t="shared" si="90"/>
        <v>-288.491957496997</v>
      </c>
      <c r="W87" s="110">
        <f t="shared" si="90"/>
        <v>-298.030636221906</v>
      </c>
      <c r="X87" s="110">
        <f t="shared" si="90"/>
        <v>-307.855475308564</v>
      </c>
      <c r="Y87" s="110">
        <f t="shared" si="90"/>
        <v>-317.975059567821</v>
      </c>
      <c r="Z87" s="110">
        <f t="shared" si="90"/>
        <v>-328.398231354855</v>
      </c>
      <c r="AA87" s="110">
        <f t="shared" si="90"/>
        <v>-339.134098295501</v>
      </c>
      <c r="AB87" s="110">
        <f t="shared" si="90"/>
        <v>-350.192041244366</v>
      </c>
      <c r="AC87" s="110">
        <f t="shared" si="90"/>
        <v>-361.581722481697</v>
      </c>
      <c r="AD87" s="110">
        <f t="shared" si="90"/>
        <v>-373.313094156148</v>
      </c>
      <c r="AE87" s="110">
        <f t="shared" si="90"/>
        <v>-385.396406980832</v>
      </c>
      <c r="AF87" s="110">
        <f t="shared" si="90"/>
        <v>-397.842219190257</v>
      </c>
      <c r="AG87" s="110">
        <f t="shared" si="90"/>
        <v>-410.661405765965</v>
      </c>
      <c r="AH87" s="110">
        <f t="shared" si="90"/>
        <v>-423.865167938944</v>
      </c>
      <c r="AI87" s="110">
        <f t="shared" si="90"/>
        <v>-437.465042977112</v>
      </c>
    </row>
    <row r="88" s="16" customFormat="1" spans="2:35">
      <c r="B88" s="16" t="str">
        <f>B20</f>
        <v>Tax rate</v>
      </c>
      <c r="M88" s="16">
        <f t="shared" ref="M88:AI88" si="91">M20</f>
        <v>0.254191321499014</v>
      </c>
      <c r="N88" s="16">
        <f t="shared" si="91"/>
        <v>0.254191321499014</v>
      </c>
      <c r="O88" s="16">
        <f t="shared" si="91"/>
        <v>0.254191321499014</v>
      </c>
      <c r="P88" s="16">
        <f t="shared" si="91"/>
        <v>0.225030979763999</v>
      </c>
      <c r="Q88" s="16">
        <f t="shared" si="91"/>
        <v>0.229435522689586</v>
      </c>
      <c r="R88" s="16">
        <f t="shared" si="91"/>
        <v>0.232047886657979</v>
      </c>
      <c r="S88" s="16">
        <f t="shared" si="91"/>
        <v>0.232501503591651</v>
      </c>
      <c r="T88" s="16">
        <f t="shared" si="91"/>
        <v>0.254</v>
      </c>
      <c r="U88" s="16">
        <f t="shared" si="91"/>
        <v>0.254</v>
      </c>
      <c r="V88" s="16">
        <f t="shared" si="91"/>
        <v>0.254</v>
      </c>
      <c r="W88" s="16">
        <f t="shared" si="91"/>
        <v>0.254</v>
      </c>
      <c r="X88" s="16">
        <f t="shared" si="91"/>
        <v>0.254</v>
      </c>
      <c r="Y88" s="16">
        <f t="shared" si="91"/>
        <v>0.254</v>
      </c>
      <c r="Z88" s="16">
        <f t="shared" si="91"/>
        <v>0.254</v>
      </c>
      <c r="AA88" s="16">
        <f t="shared" si="91"/>
        <v>0.254</v>
      </c>
      <c r="AB88" s="16">
        <f t="shared" si="91"/>
        <v>0.254</v>
      </c>
      <c r="AC88" s="16">
        <f t="shared" si="91"/>
        <v>0.254</v>
      </c>
      <c r="AD88" s="16">
        <f t="shared" si="91"/>
        <v>0.254</v>
      </c>
      <c r="AE88" s="16">
        <f t="shared" si="91"/>
        <v>0.254</v>
      </c>
      <c r="AF88" s="16">
        <f t="shared" si="91"/>
        <v>0.254</v>
      </c>
      <c r="AG88" s="16">
        <f t="shared" si="91"/>
        <v>0.254</v>
      </c>
      <c r="AH88" s="16">
        <f t="shared" si="91"/>
        <v>0.254</v>
      </c>
      <c r="AI88" s="16">
        <f t="shared" si="91"/>
        <v>0.254</v>
      </c>
    </row>
    <row r="89" spans="5:35">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row>
    <row r="90" spans="2:35">
      <c r="B90" s="8" t="str">
        <f>B22</f>
        <v>NOPAT</v>
      </c>
      <c r="C90" s="8"/>
      <c r="D90" s="8"/>
      <c r="E90" s="142"/>
      <c r="F90" s="142"/>
      <c r="G90" s="142"/>
      <c r="H90" s="142"/>
      <c r="I90" s="142"/>
      <c r="J90" s="142"/>
      <c r="K90" s="142"/>
      <c r="L90" s="142"/>
      <c r="M90" s="142">
        <f>M83+M87</f>
        <v>721</v>
      </c>
      <c r="N90" s="142">
        <f t="shared" ref="N90:AI90" si="92">N83+N87</f>
        <v>981.410829267061</v>
      </c>
      <c r="O90" s="142">
        <f t="shared" si="92"/>
        <v>1078.07992349995</v>
      </c>
      <c r="P90" s="142">
        <f t="shared" si="92"/>
        <v>459.870959202111</v>
      </c>
      <c r="Q90" s="142">
        <f t="shared" si="92"/>
        <v>482.032451044779</v>
      </c>
      <c r="R90" s="142">
        <f t="shared" si="92"/>
        <v>507.155833750748</v>
      </c>
      <c r="S90" s="142">
        <f t="shared" si="92"/>
        <v>535.862407925691</v>
      </c>
      <c r="T90" s="142">
        <f t="shared" si="92"/>
        <v>543.760909207063</v>
      </c>
      <c r="U90" s="142">
        <f t="shared" si="92"/>
        <v>575.469834363844</v>
      </c>
      <c r="V90" s="142">
        <f t="shared" si="92"/>
        <v>608.944028169356</v>
      </c>
      <c r="W90" s="142">
        <f t="shared" si="92"/>
        <v>644.277148727764</v>
      </c>
      <c r="X90" s="142">
        <f t="shared" si="92"/>
        <v>681.56769888859</v>
      </c>
      <c r="Y90" s="142">
        <f t="shared" si="92"/>
        <v>720.919273339191</v>
      </c>
      <c r="Z90" s="142">
        <f t="shared" si="92"/>
        <v>762.440818197507</v>
      </c>
      <c r="AA90" s="142">
        <f t="shared" si="92"/>
        <v>806.24690373448</v>
      </c>
      <c r="AB90" s="142">
        <f t="shared" si="92"/>
        <v>852.458010887114</v>
      </c>
      <c r="AC90" s="142">
        <f t="shared" si="92"/>
        <v>901.200832256357</v>
      </c>
      <c r="AD90" s="142">
        <f t="shared" si="92"/>
        <v>952.608588318809</v>
      </c>
      <c r="AE90" s="142">
        <f t="shared" si="92"/>
        <v>1006.82135961787</v>
      </c>
      <c r="AF90" s="142">
        <f t="shared" si="92"/>
        <v>1063.98643573838</v>
      </c>
      <c r="AG90" s="142">
        <f t="shared" si="92"/>
        <v>1124.25868190911</v>
      </c>
      <c r="AH90" s="142">
        <f t="shared" si="92"/>
        <v>1187.80092411988</v>
      </c>
      <c r="AI90" s="142">
        <f t="shared" si="92"/>
        <v>1254.78435368465</v>
      </c>
    </row>
    <row r="91" spans="5:35">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row>
    <row r="92" spans="2:35">
      <c r="B92" s="2" t="str">
        <f>B24</f>
        <v>D&amp;A</v>
      </c>
      <c r="E92" s="111"/>
      <c r="F92" s="111"/>
      <c r="G92" s="111"/>
      <c r="H92" s="111"/>
      <c r="I92" s="111"/>
      <c r="J92" s="111"/>
      <c r="K92" s="111"/>
      <c r="L92" s="111"/>
      <c r="M92" s="111">
        <f t="shared" ref="M92" si="93">M24</f>
        <v>908</v>
      </c>
      <c r="N92" s="111">
        <f>N93*N80</f>
        <v>927.696</v>
      </c>
      <c r="O92" s="111">
        <f t="shared" ref="O92:AI92" si="94">O93*O80</f>
        <v>1020.4656</v>
      </c>
      <c r="P92" s="111">
        <f t="shared" si="94"/>
        <v>401.80833</v>
      </c>
      <c r="Q92" s="111">
        <f t="shared" si="94"/>
        <v>421.8987465</v>
      </c>
      <c r="R92" s="111">
        <f t="shared" si="94"/>
        <v>442.993683825</v>
      </c>
      <c r="S92" s="111">
        <f t="shared" si="94"/>
        <v>465.14336801625</v>
      </c>
      <c r="T92" s="111">
        <f t="shared" si="94"/>
        <v>488.400536417063</v>
      </c>
      <c r="U92" s="111">
        <f t="shared" si="94"/>
        <v>512.820563237916</v>
      </c>
      <c r="V92" s="111">
        <f t="shared" si="94"/>
        <v>538.461591399812</v>
      </c>
      <c r="W92" s="111">
        <f t="shared" si="94"/>
        <v>565.384670969802</v>
      </c>
      <c r="X92" s="111">
        <f t="shared" si="94"/>
        <v>593.653904518293</v>
      </c>
      <c r="Y92" s="111">
        <f t="shared" si="94"/>
        <v>623.336599744207</v>
      </c>
      <c r="Z92" s="111">
        <f t="shared" si="94"/>
        <v>654.503429731418</v>
      </c>
      <c r="AA92" s="111">
        <f t="shared" si="94"/>
        <v>687.228601217989</v>
      </c>
      <c r="AB92" s="111">
        <f t="shared" si="94"/>
        <v>721.590031278888</v>
      </c>
      <c r="AC92" s="111">
        <f t="shared" si="94"/>
        <v>757.669532842832</v>
      </c>
      <c r="AD92" s="111">
        <f t="shared" si="94"/>
        <v>795.553009484974</v>
      </c>
      <c r="AE92" s="111">
        <f t="shared" si="94"/>
        <v>835.330659959223</v>
      </c>
      <c r="AF92" s="111">
        <f t="shared" si="94"/>
        <v>877.097192957184</v>
      </c>
      <c r="AG92" s="111">
        <f t="shared" si="94"/>
        <v>920.952052605043</v>
      </c>
      <c r="AH92" s="111">
        <f t="shared" si="94"/>
        <v>966.999655235295</v>
      </c>
      <c r="AI92" s="111">
        <f t="shared" si="94"/>
        <v>1015.34963799706</v>
      </c>
    </row>
    <row r="93" s="16" customFormat="1" spans="2:35">
      <c r="B93" s="16" t="str">
        <f>B25</f>
        <v>% of revenue</v>
      </c>
      <c r="M93" s="16">
        <f t="shared" ref="M93" si="95">M25</f>
        <v>0.0861316638209069</v>
      </c>
      <c r="N93" s="16">
        <v>0.08</v>
      </c>
      <c r="O93" s="16">
        <v>0.08</v>
      </c>
      <c r="P93" s="16">
        <v>0.03</v>
      </c>
      <c r="Q93" s="16">
        <v>0.03</v>
      </c>
      <c r="R93" s="16">
        <v>0.03</v>
      </c>
      <c r="S93" s="16">
        <v>0.03</v>
      </c>
      <c r="T93" s="16">
        <v>0.03</v>
      </c>
      <c r="U93" s="16">
        <v>0.03</v>
      </c>
      <c r="V93" s="16">
        <v>0.03</v>
      </c>
      <c r="W93" s="16">
        <v>0.03</v>
      </c>
      <c r="X93" s="16">
        <v>0.03</v>
      </c>
      <c r="Y93" s="16">
        <v>0.03</v>
      </c>
      <c r="Z93" s="16">
        <v>0.03</v>
      </c>
      <c r="AA93" s="16">
        <v>0.03</v>
      </c>
      <c r="AB93" s="16">
        <v>0.03</v>
      </c>
      <c r="AC93" s="16">
        <v>0.03</v>
      </c>
      <c r="AD93" s="16">
        <v>0.03</v>
      </c>
      <c r="AE93" s="16">
        <v>0.03</v>
      </c>
      <c r="AF93" s="16">
        <v>0.03</v>
      </c>
      <c r="AG93" s="16">
        <v>0.03</v>
      </c>
      <c r="AH93" s="16">
        <v>0.03</v>
      </c>
      <c r="AI93" s="16">
        <v>0.03</v>
      </c>
    </row>
    <row r="94" spans="5:35">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row>
    <row r="95" s="110" customFormat="1" spans="2:35">
      <c r="B95" s="110" t="str">
        <f>B27</f>
        <v>CAPEX</v>
      </c>
      <c r="M95" s="110">
        <f t="shared" ref="M95" si="96">M27</f>
        <v>-539.7</v>
      </c>
      <c r="N95" s="110">
        <f>-N96*N80</f>
        <v>-622.342792058966</v>
      </c>
      <c r="O95" s="110">
        <f t="shared" ref="O95:AI95" si="97">-O96*O80</f>
        <v>-637.791</v>
      </c>
      <c r="P95" s="110">
        <f t="shared" si="97"/>
        <v>-401.80833</v>
      </c>
      <c r="Q95" s="110">
        <f t="shared" si="97"/>
        <v>-421.8987465</v>
      </c>
      <c r="R95" s="110">
        <f t="shared" si="97"/>
        <v>-442.993683825</v>
      </c>
      <c r="S95" s="110">
        <f t="shared" si="97"/>
        <v>-465.14336801625</v>
      </c>
      <c r="T95" s="110">
        <f t="shared" si="97"/>
        <v>-488.400536417063</v>
      </c>
      <c r="U95" s="110">
        <f t="shared" si="97"/>
        <v>-512.820563237916</v>
      </c>
      <c r="V95" s="110">
        <f t="shared" si="97"/>
        <v>-538.461591399812</v>
      </c>
      <c r="W95" s="110">
        <f t="shared" si="97"/>
        <v>-565.384670969802</v>
      </c>
      <c r="X95" s="110">
        <f t="shared" si="97"/>
        <v>-593.653904518293</v>
      </c>
      <c r="Y95" s="110">
        <f t="shared" si="97"/>
        <v>-623.336599744207</v>
      </c>
      <c r="Z95" s="110">
        <f t="shared" si="97"/>
        <v>-654.503429731418</v>
      </c>
      <c r="AA95" s="110">
        <f t="shared" si="97"/>
        <v>-687.228601217989</v>
      </c>
      <c r="AB95" s="110">
        <f t="shared" si="97"/>
        <v>-721.590031278888</v>
      </c>
      <c r="AC95" s="110">
        <f t="shared" si="97"/>
        <v>-757.669532842832</v>
      </c>
      <c r="AD95" s="110">
        <f t="shared" si="97"/>
        <v>-795.553009484974</v>
      </c>
      <c r="AE95" s="110">
        <f t="shared" si="97"/>
        <v>-835.330659959223</v>
      </c>
      <c r="AF95" s="110">
        <f t="shared" si="97"/>
        <v>-877.097192957184</v>
      </c>
      <c r="AG95" s="110">
        <f t="shared" si="97"/>
        <v>-920.952052605043</v>
      </c>
      <c r="AH95" s="110">
        <f t="shared" si="97"/>
        <v>-966.999655235295</v>
      </c>
      <c r="AI95" s="110">
        <f t="shared" si="97"/>
        <v>-1015.34963799706</v>
      </c>
    </row>
    <row r="96" s="16" customFormat="1" spans="2:35">
      <c r="B96" s="16" t="str">
        <f>B28</f>
        <v>% of revenue</v>
      </c>
      <c r="M96" s="16">
        <f t="shared" ref="M96:N96" si="98">M28</f>
        <v>0.051195219123506</v>
      </c>
      <c r="N96" s="16">
        <f t="shared" si="98"/>
        <v>0.0536678215328268</v>
      </c>
      <c r="O96" s="16">
        <v>0.05</v>
      </c>
      <c r="P96" s="16">
        <v>0.03</v>
      </c>
      <c r="Q96" s="16">
        <v>0.03</v>
      </c>
      <c r="R96" s="16">
        <v>0.03</v>
      </c>
      <c r="S96" s="16">
        <v>0.03</v>
      </c>
      <c r="T96" s="16">
        <v>0.03</v>
      </c>
      <c r="U96" s="16">
        <v>0.03</v>
      </c>
      <c r="V96" s="16">
        <v>0.03</v>
      </c>
      <c r="W96" s="16">
        <v>0.03</v>
      </c>
      <c r="X96" s="16">
        <v>0.03</v>
      </c>
      <c r="Y96" s="16">
        <v>0.03</v>
      </c>
      <c r="Z96" s="16">
        <v>0.03</v>
      </c>
      <c r="AA96" s="16">
        <v>0.03</v>
      </c>
      <c r="AB96" s="16">
        <v>0.03</v>
      </c>
      <c r="AC96" s="16">
        <v>0.03</v>
      </c>
      <c r="AD96" s="16">
        <v>0.03</v>
      </c>
      <c r="AE96" s="16">
        <v>0.03</v>
      </c>
      <c r="AF96" s="16">
        <v>0.03</v>
      </c>
      <c r="AG96" s="16">
        <v>0.03</v>
      </c>
      <c r="AH96" s="16">
        <v>0.03</v>
      </c>
      <c r="AI96" s="16">
        <v>0.03</v>
      </c>
    </row>
    <row r="97" spans="2:35">
      <c r="B97" s="2" t="str">
        <f>B29</f>
        <v>Incremental Fcinv rate</v>
      </c>
      <c r="E97" s="111"/>
      <c r="F97" s="111"/>
      <c r="G97" s="111"/>
      <c r="H97" s="111"/>
      <c r="I97" s="111"/>
      <c r="J97" s="111"/>
      <c r="K97" s="111"/>
      <c r="L97" s="111"/>
      <c r="M97" s="111">
        <f t="shared" ref="M97:AI97" si="99">M29</f>
        <v>1.29424460431655</v>
      </c>
      <c r="N97" s="111">
        <f t="shared" si="99"/>
        <v>0.492231455881425</v>
      </c>
      <c r="O97" s="111">
        <f t="shared" si="99"/>
        <v>0.714157246877465</v>
      </c>
      <c r="P97" s="111">
        <f t="shared" si="99"/>
        <v>1.71666666666666</v>
      </c>
      <c r="Q97" s="111">
        <f t="shared" si="99"/>
        <v>1.71666666666667</v>
      </c>
      <c r="R97" s="111">
        <f t="shared" si="99"/>
        <v>1.71666666666667</v>
      </c>
      <c r="S97" s="111">
        <f t="shared" si="99"/>
        <v>1.71666666666667</v>
      </c>
      <c r="T97" s="111">
        <f t="shared" si="99"/>
        <v>1.71666666666667</v>
      </c>
      <c r="U97" s="111">
        <f t="shared" si="99"/>
        <v>1.71666666666666</v>
      </c>
      <c r="V97" s="111">
        <f t="shared" si="99"/>
        <v>1.71666666666667</v>
      </c>
      <c r="W97" s="111">
        <f t="shared" si="99"/>
        <v>1.71666666666667</v>
      </c>
      <c r="X97" s="111">
        <f t="shared" si="99"/>
        <v>1.71666666666666</v>
      </c>
      <c r="Y97" s="111">
        <f t="shared" si="99"/>
        <v>1.71666666666666</v>
      </c>
      <c r="Z97" s="111">
        <f t="shared" si="99"/>
        <v>1.71666666666666</v>
      </c>
      <c r="AA97" s="111">
        <f t="shared" si="99"/>
        <v>1.71666666666667</v>
      </c>
      <c r="AB97" s="111">
        <f t="shared" si="99"/>
        <v>1.71666666666666</v>
      </c>
      <c r="AC97" s="111">
        <f t="shared" si="99"/>
        <v>1.71666666666666</v>
      </c>
      <c r="AD97" s="111">
        <f t="shared" si="99"/>
        <v>1.71666666666667</v>
      </c>
      <c r="AE97" s="111">
        <f t="shared" si="99"/>
        <v>1.71666666666667</v>
      </c>
      <c r="AF97" s="111">
        <f t="shared" si="99"/>
        <v>1.71666666666666</v>
      </c>
      <c r="AG97" s="111">
        <f t="shared" si="99"/>
        <v>1.71666666666667</v>
      </c>
      <c r="AH97" s="111">
        <f t="shared" si="99"/>
        <v>1.71666666666666</v>
      </c>
      <c r="AI97" s="111">
        <f t="shared" si="99"/>
        <v>1.71666666666667</v>
      </c>
    </row>
    <row r="98" spans="5:35">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c r="AI98" s="111"/>
    </row>
    <row r="99" s="110" customFormat="1" spans="2:35">
      <c r="B99" s="110" t="str">
        <f>B31</f>
        <v>Change in WC</v>
      </c>
      <c r="M99" s="110">
        <f t="shared" ref="M99:AI99" si="100">M31</f>
        <v>-507.6</v>
      </c>
      <c r="N99" s="110">
        <f t="shared" si="100"/>
        <v>0</v>
      </c>
      <c r="O99" s="110">
        <f t="shared" si="100"/>
        <v>0</v>
      </c>
      <c r="P99" s="110">
        <f t="shared" si="100"/>
        <v>0</v>
      </c>
      <c r="Q99" s="110">
        <f t="shared" si="100"/>
        <v>0</v>
      </c>
      <c r="R99" s="110">
        <f t="shared" si="100"/>
        <v>0</v>
      </c>
      <c r="S99" s="110">
        <f t="shared" si="100"/>
        <v>0</v>
      </c>
      <c r="T99" s="110">
        <f t="shared" si="100"/>
        <v>0</v>
      </c>
      <c r="U99" s="110">
        <f t="shared" si="100"/>
        <v>0</v>
      </c>
      <c r="V99" s="110">
        <f t="shared" si="100"/>
        <v>0</v>
      </c>
      <c r="W99" s="110">
        <f t="shared" si="100"/>
        <v>0</v>
      </c>
      <c r="X99" s="110">
        <f t="shared" si="100"/>
        <v>0</v>
      </c>
      <c r="Y99" s="110">
        <f t="shared" si="100"/>
        <v>0</v>
      </c>
      <c r="Z99" s="110">
        <f t="shared" si="100"/>
        <v>0</v>
      </c>
      <c r="AA99" s="110">
        <f t="shared" si="100"/>
        <v>0</v>
      </c>
      <c r="AB99" s="110">
        <f t="shared" si="100"/>
        <v>0</v>
      </c>
      <c r="AC99" s="110">
        <f t="shared" si="100"/>
        <v>0</v>
      </c>
      <c r="AD99" s="110">
        <f t="shared" si="100"/>
        <v>0</v>
      </c>
      <c r="AE99" s="110">
        <f t="shared" si="100"/>
        <v>0</v>
      </c>
      <c r="AF99" s="110">
        <f t="shared" si="100"/>
        <v>0</v>
      </c>
      <c r="AG99" s="110">
        <f t="shared" si="100"/>
        <v>0</v>
      </c>
      <c r="AH99" s="110">
        <f t="shared" si="100"/>
        <v>0</v>
      </c>
      <c r="AI99" s="110">
        <f t="shared" si="100"/>
        <v>0</v>
      </c>
    </row>
    <row r="100" spans="5:35">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c r="AE100" s="111"/>
      <c r="AF100" s="111"/>
      <c r="AG100" s="111"/>
      <c r="AH100" s="111"/>
      <c r="AI100" s="111"/>
    </row>
    <row r="101" spans="2:35">
      <c r="B101" s="127" t="str">
        <f>B33</f>
        <v>UNLEVERED FCF</v>
      </c>
      <c r="C101" s="127"/>
      <c r="D101" s="127"/>
      <c r="E101" s="150"/>
      <c r="F101" s="150"/>
      <c r="G101" s="150"/>
      <c r="H101" s="150"/>
      <c r="I101" s="150"/>
      <c r="J101" s="150"/>
      <c r="K101" s="150"/>
      <c r="L101" s="150"/>
      <c r="M101" s="150">
        <f>+IFERROR(SUM(M90,M92,M95,M99),"n/a")</f>
        <v>581.7</v>
      </c>
      <c r="N101" s="150">
        <f t="shared" ref="N101:AI101" si="101">+IFERROR(SUM(N90,N92,N95,N99),"n/a")</f>
        <v>1286.7640372081</v>
      </c>
      <c r="O101" s="150">
        <f t="shared" si="101"/>
        <v>1460.75452349995</v>
      </c>
      <c r="P101" s="150">
        <f t="shared" si="101"/>
        <v>459.870959202111</v>
      </c>
      <c r="Q101" s="150">
        <f t="shared" si="101"/>
        <v>482.032451044779</v>
      </c>
      <c r="R101" s="150">
        <f t="shared" si="101"/>
        <v>507.155833750748</v>
      </c>
      <c r="S101" s="150">
        <f t="shared" si="101"/>
        <v>535.862407925691</v>
      </c>
      <c r="T101" s="150">
        <f t="shared" si="101"/>
        <v>543.760909207063</v>
      </c>
      <c r="U101" s="150">
        <f t="shared" si="101"/>
        <v>575.469834363844</v>
      </c>
      <c r="V101" s="150">
        <f t="shared" si="101"/>
        <v>608.944028169356</v>
      </c>
      <c r="W101" s="150">
        <f t="shared" si="101"/>
        <v>644.277148727764</v>
      </c>
      <c r="X101" s="150">
        <f t="shared" si="101"/>
        <v>681.56769888859</v>
      </c>
      <c r="Y101" s="150">
        <f t="shared" si="101"/>
        <v>720.919273339191</v>
      </c>
      <c r="Z101" s="150">
        <f t="shared" si="101"/>
        <v>762.440818197507</v>
      </c>
      <c r="AA101" s="150">
        <f t="shared" si="101"/>
        <v>806.24690373448</v>
      </c>
      <c r="AB101" s="150">
        <f t="shared" si="101"/>
        <v>852.458010887114</v>
      </c>
      <c r="AC101" s="150">
        <f t="shared" si="101"/>
        <v>901.200832256357</v>
      </c>
      <c r="AD101" s="150">
        <f t="shared" si="101"/>
        <v>952.608588318809</v>
      </c>
      <c r="AE101" s="150">
        <f t="shared" si="101"/>
        <v>1006.82135961787</v>
      </c>
      <c r="AF101" s="150">
        <f t="shared" si="101"/>
        <v>1063.98643573838</v>
      </c>
      <c r="AG101" s="150">
        <f t="shared" si="101"/>
        <v>1124.25868190911</v>
      </c>
      <c r="AH101" s="150">
        <f t="shared" si="101"/>
        <v>1187.80092411988</v>
      </c>
      <c r="AI101" s="150">
        <f t="shared" si="101"/>
        <v>1254.78435368465</v>
      </c>
    </row>
    <row r="102" s="16" customFormat="1" spans="2:2">
      <c r="B102" s="16" t="str">
        <f>B34</f>
        <v>% margin</v>
      </c>
    </row>
    <row r="103" spans="5:35">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row>
    <row r="104" spans="2:35">
      <c r="B104" s="2" t="str">
        <f>B36</f>
        <v>Discount period</v>
      </c>
      <c r="E104" s="111"/>
      <c r="F104" s="111"/>
      <c r="G104" s="111"/>
      <c r="H104" s="111"/>
      <c r="I104" s="111"/>
      <c r="J104" s="111"/>
      <c r="K104" s="111"/>
      <c r="L104" s="111"/>
      <c r="M104" s="111">
        <f t="shared" ref="M104:AI104" si="102">M36</f>
        <v>0</v>
      </c>
      <c r="N104" s="111">
        <f t="shared" si="102"/>
        <v>1</v>
      </c>
      <c r="O104" s="111">
        <f t="shared" si="102"/>
        <v>2</v>
      </c>
      <c r="P104" s="111">
        <f t="shared" si="102"/>
        <v>3</v>
      </c>
      <c r="Q104" s="111">
        <f t="shared" si="102"/>
        <v>4</v>
      </c>
      <c r="R104" s="111">
        <f t="shared" si="102"/>
        <v>5</v>
      </c>
      <c r="S104" s="111">
        <f t="shared" si="102"/>
        <v>6</v>
      </c>
      <c r="T104" s="111">
        <f t="shared" si="102"/>
        <v>7</v>
      </c>
      <c r="U104" s="111">
        <f t="shared" si="102"/>
        <v>8</v>
      </c>
      <c r="V104" s="111">
        <f t="shared" si="102"/>
        <v>9</v>
      </c>
      <c r="W104" s="111">
        <f t="shared" si="102"/>
        <v>10</v>
      </c>
      <c r="X104" s="111">
        <f t="shared" si="102"/>
        <v>11</v>
      </c>
      <c r="Y104" s="111">
        <f t="shared" si="102"/>
        <v>12</v>
      </c>
      <c r="Z104" s="111">
        <f t="shared" si="102"/>
        <v>13</v>
      </c>
      <c r="AA104" s="111">
        <f t="shared" si="102"/>
        <v>14</v>
      </c>
      <c r="AB104" s="111">
        <f t="shared" si="102"/>
        <v>15</v>
      </c>
      <c r="AC104" s="111">
        <f t="shared" si="102"/>
        <v>16</v>
      </c>
      <c r="AD104" s="111">
        <f t="shared" si="102"/>
        <v>17</v>
      </c>
      <c r="AE104" s="111">
        <f t="shared" si="102"/>
        <v>18</v>
      </c>
      <c r="AF104" s="111">
        <f t="shared" si="102"/>
        <v>19</v>
      </c>
      <c r="AG104" s="111">
        <f t="shared" si="102"/>
        <v>20</v>
      </c>
      <c r="AH104" s="111">
        <f t="shared" si="102"/>
        <v>21</v>
      </c>
      <c r="AI104" s="111">
        <f t="shared" si="102"/>
        <v>22</v>
      </c>
    </row>
    <row r="105" s="16" customFormat="1" spans="2:35">
      <c r="B105" s="16" t="str">
        <f>B37</f>
        <v>Discount factor</v>
      </c>
      <c r="M105" s="16">
        <f t="shared" ref="M105:AI105" si="103">M37</f>
        <v>1</v>
      </c>
      <c r="N105" s="16">
        <f t="shared" si="103"/>
        <v>0.917990408836208</v>
      </c>
      <c r="O105" s="16">
        <f t="shared" si="103"/>
        <v>0.842706390715269</v>
      </c>
      <c r="P105" s="16">
        <f t="shared" si="103"/>
        <v>0.773596384141595</v>
      </c>
      <c r="Q105" s="16">
        <f t="shared" si="103"/>
        <v>0.710154060952356</v>
      </c>
      <c r="R105" s="16">
        <f t="shared" si="103"/>
        <v>0.651914616750347</v>
      </c>
      <c r="S105" s="16">
        <f t="shared" si="103"/>
        <v>0.598451365556951</v>
      </c>
      <c r="T105" s="16">
        <f t="shared" si="103"/>
        <v>0.549372613736213</v>
      </c>
      <c r="U105" s="16">
        <f t="shared" si="103"/>
        <v>0.504318790287122</v>
      </c>
      <c r="V105" s="16">
        <f t="shared" si="103"/>
        <v>0.462959812479457</v>
      </c>
      <c r="W105" s="16">
        <f t="shared" si="103"/>
        <v>0.424992667532751</v>
      </c>
      <c r="X105" s="16">
        <f t="shared" si="103"/>
        <v>0.390139192620781</v>
      </c>
      <c r="Y105" s="16">
        <f t="shared" si="103"/>
        <v>0.358144036936979</v>
      </c>
      <c r="Z105" s="16">
        <f t="shared" si="103"/>
        <v>0.328772790890028</v>
      </c>
      <c r="AA105" s="16">
        <f t="shared" si="103"/>
        <v>0.301810268723358</v>
      </c>
      <c r="AB105" s="16">
        <f t="shared" si="103"/>
        <v>0.277058931976321</v>
      </c>
      <c r="AC105" s="16">
        <f t="shared" si="103"/>
        <v>0.254337442236666</v>
      </c>
      <c r="AD105" s="16">
        <f t="shared" si="103"/>
        <v>0.233479332581193</v>
      </c>
      <c r="AE105" s="16">
        <f t="shared" si="103"/>
        <v>0.214331787971014</v>
      </c>
      <c r="AF105" s="16">
        <f t="shared" si="103"/>
        <v>0.196754525666107</v>
      </c>
      <c r="AG105" s="16">
        <f t="shared" si="103"/>
        <v>0.180618767456604</v>
      </c>
      <c r="AH105" s="16">
        <f t="shared" si="103"/>
        <v>0.16580629618098</v>
      </c>
      <c r="AI105" s="16">
        <f t="shared" si="103"/>
        <v>0.152208589618795</v>
      </c>
    </row>
    <row r="106" spans="5:35">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1"/>
      <c r="AF106" s="111"/>
      <c r="AG106" s="111"/>
      <c r="AH106" s="111"/>
      <c r="AI106" s="111"/>
    </row>
    <row r="107" s="8" customFormat="1" spans="2:35">
      <c r="B107" s="127" t="str">
        <f>B39</f>
        <v>PV of FCF</v>
      </c>
      <c r="C107" s="127"/>
      <c r="D107" s="127"/>
      <c r="E107" s="150"/>
      <c r="F107" s="150"/>
      <c r="G107" s="150"/>
      <c r="H107" s="150"/>
      <c r="I107" s="150"/>
      <c r="J107" s="150"/>
      <c r="K107" s="150"/>
      <c r="L107" s="150"/>
      <c r="M107" s="150">
        <f>M39</f>
        <v>0</v>
      </c>
      <c r="N107" s="150">
        <f>N101*N105</f>
        <v>1181.23704459239</v>
      </c>
      <c r="O107" s="150">
        <f t="shared" ref="O107:AI107" si="104">O101*O105</f>
        <v>1230.98717221965</v>
      </c>
      <c r="P107" s="150">
        <f t="shared" si="104"/>
        <v>355.754511210481</v>
      </c>
      <c r="Q107" s="150">
        <f t="shared" si="104"/>
        <v>342.317302620268</v>
      </c>
      <c r="R107" s="150">
        <f t="shared" si="104"/>
        <v>330.622300992321</v>
      </c>
      <c r="S107" s="150">
        <f t="shared" si="104"/>
        <v>320.687589773765</v>
      </c>
      <c r="T107" s="150">
        <f t="shared" si="104"/>
        <v>298.727351938664</v>
      </c>
      <c r="U107" s="150">
        <f t="shared" si="104"/>
        <v>290.220250713104</v>
      </c>
      <c r="V107" s="150">
        <f t="shared" si="104"/>
        <v>281.916613091771</v>
      </c>
      <c r="W107" s="150">
        <f t="shared" si="104"/>
        <v>273.813064068208</v>
      </c>
      <c r="X107" s="150">
        <f t="shared" si="104"/>
        <v>265.906271760798</v>
      </c>
      <c r="Y107" s="150">
        <f t="shared" si="104"/>
        <v>258.192938859372</v>
      </c>
      <c r="Z107" s="150">
        <f t="shared" si="104"/>
        <v>250.669795687271</v>
      </c>
      <c r="AA107" s="150">
        <f t="shared" si="104"/>
        <v>243.333594673479</v>
      </c>
      <c r="AB107" s="150">
        <f t="shared" si="104"/>
        <v>236.181106051043</v>
      </c>
      <c r="AC107" s="150">
        <f t="shared" si="104"/>
        <v>229.209114617637</v>
      </c>
      <c r="AD107" s="150">
        <f t="shared" si="104"/>
        <v>222.414417411788</v>
      </c>
      <c r="AE107" s="150">
        <f t="shared" si="104"/>
        <v>215.793822174306</v>
      </c>
      <c r="AF107" s="150">
        <f t="shared" si="104"/>
        <v>209.344146478877</v>
      </c>
      <c r="AG107" s="150">
        <f t="shared" si="104"/>
        <v>203.062217428809</v>
      </c>
      <c r="AH107" s="150">
        <f t="shared" si="104"/>
        <v>196.944871828663</v>
      </c>
      <c r="AI107" s="150">
        <f t="shared" si="104"/>
        <v>190.988956750073</v>
      </c>
    </row>
    <row r="108" spans="13:35">
      <c r="M108" s="111"/>
      <c r="N108" s="111"/>
      <c r="O108" s="111"/>
      <c r="P108" s="111"/>
      <c r="Q108" s="111"/>
      <c r="R108" s="111"/>
      <c r="S108" s="111"/>
      <c r="T108" s="111"/>
      <c r="U108" s="111"/>
      <c r="V108" s="111"/>
      <c r="W108" s="111"/>
      <c r="X108" s="111"/>
      <c r="Y108" s="111"/>
      <c r="Z108" s="111"/>
      <c r="AA108" s="111"/>
      <c r="AB108" s="111"/>
      <c r="AC108" s="111"/>
      <c r="AD108" s="111"/>
      <c r="AE108" s="111"/>
      <c r="AF108" s="111"/>
      <c r="AG108" s="111"/>
      <c r="AH108" s="111"/>
      <c r="AI108" s="111"/>
    </row>
    <row r="109" spans="13:35">
      <c r="M109" s="111"/>
      <c r="N109" s="111"/>
      <c r="O109" s="111"/>
      <c r="P109" s="111"/>
      <c r="Q109" s="111"/>
      <c r="R109" s="111"/>
      <c r="S109" s="111"/>
      <c r="T109" s="111"/>
      <c r="U109" s="111"/>
      <c r="V109" s="111"/>
      <c r="W109" s="111"/>
      <c r="X109" s="111"/>
      <c r="Y109" s="111"/>
      <c r="Z109" s="111"/>
      <c r="AA109" s="111"/>
      <c r="AB109" s="111"/>
      <c r="AC109" s="111"/>
      <c r="AD109" s="111"/>
      <c r="AE109" s="111"/>
      <c r="AF109" s="111"/>
      <c r="AG109" s="111"/>
      <c r="AH109" s="111"/>
      <c r="AI109" s="111"/>
    </row>
    <row r="110" spans="13:35">
      <c r="M110" s="111"/>
      <c r="N110" s="16"/>
      <c r="O110" s="16"/>
      <c r="P110" s="16"/>
      <c r="Q110" s="16"/>
      <c r="R110" s="16"/>
      <c r="S110" s="16"/>
      <c r="T110" s="16"/>
      <c r="U110" s="16"/>
      <c r="V110" s="16"/>
      <c r="W110" s="16"/>
      <c r="X110" s="16"/>
      <c r="Y110" s="16"/>
      <c r="Z110" s="16"/>
      <c r="AA110" s="16"/>
      <c r="AB110" s="16"/>
      <c r="AC110" s="16"/>
      <c r="AD110" s="16"/>
      <c r="AE110" s="16"/>
      <c r="AF110" s="16"/>
      <c r="AG110" s="16"/>
      <c r="AH110" s="16"/>
      <c r="AI110" s="16"/>
    </row>
  </sheetData>
  <mergeCells count="8">
    <mergeCell ref="AK5:AL5"/>
    <mergeCell ref="AK15:AL15"/>
    <mergeCell ref="AK25:AL25"/>
    <mergeCell ref="AK31:AL31"/>
    <mergeCell ref="AK37:AL37"/>
    <mergeCell ref="AK47:AL47"/>
    <mergeCell ref="AK53:AL53"/>
    <mergeCell ref="AK78:AL78"/>
  </mergeCells>
  <pageMargins left="0.7" right="0.7" top="0.75" bottom="0.75" header="0.3" footer="0.3"/>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X222"/>
  <sheetViews>
    <sheetView showGridLines="0" zoomScale="55" zoomScaleNormal="55" workbookViewId="0">
      <pane xSplit="2" ySplit="3" topLeftCell="C84" activePane="bottomRight" state="frozen"/>
      <selection/>
      <selection pane="topRight"/>
      <selection pane="bottomLeft"/>
      <selection pane="bottomRight" activeCell="AG32" sqref="AG32"/>
    </sheetView>
  </sheetViews>
  <sheetFormatPr defaultColWidth="9" defaultRowHeight="15.5"/>
  <cols>
    <col min="1" max="1" width="2.25384615384615" customWidth="1"/>
    <col min="2" max="2" width="46.2538461538462" customWidth="1"/>
    <col min="3" max="3" width="2.25384615384615" customWidth="1"/>
    <col min="4" max="4" width="11.1230769230769" customWidth="1"/>
    <col min="5" max="5" width="8.5" customWidth="1"/>
    <col min="13" max="13" width="9.25384615384615" customWidth="1"/>
    <col min="18" max="18" width="2.62307692307692" customWidth="1"/>
    <col min="19" max="19" width="28.8769230769231" customWidth="1"/>
    <col min="20" max="20" width="9" customWidth="1"/>
    <col min="21" max="21" width="2.5" customWidth="1"/>
    <col min="22" max="22" width="31.1230769230769" customWidth="1"/>
    <col min="26" max="26" width="2.25384615384615" customWidth="1"/>
    <col min="27" max="27" width="14" customWidth="1"/>
    <col min="28" max="28" width="10.2538461538462" customWidth="1"/>
    <col min="29" max="29" width="11.1230769230769" customWidth="1"/>
    <col min="31" max="31" width="2.75384615384615" customWidth="1"/>
    <col min="32" max="32" width="13.5" customWidth="1"/>
    <col min="36" max="36" width="2.62307692307692" customWidth="1"/>
    <col min="37" max="37" width="13.8769230769231" customWidth="1"/>
  </cols>
  <sheetData>
    <row r="3" ht="23.5" spans="4:18">
      <c r="D3" s="94" t="s">
        <v>354</v>
      </c>
      <c r="E3" s="94" t="s">
        <v>313</v>
      </c>
      <c r="F3" s="94" t="s">
        <v>314</v>
      </c>
      <c r="G3" s="94" t="s">
        <v>315</v>
      </c>
      <c r="H3" s="94" t="s">
        <v>6</v>
      </c>
      <c r="I3" s="94" t="s">
        <v>7</v>
      </c>
      <c r="J3" s="94" t="s">
        <v>8</v>
      </c>
      <c r="K3" s="94" t="s">
        <v>9</v>
      </c>
      <c r="L3" s="94" t="s">
        <v>10</v>
      </c>
      <c r="M3" s="94" t="s">
        <v>11</v>
      </c>
      <c r="N3" s="94" t="s">
        <v>12</v>
      </c>
      <c r="O3" s="94" t="s">
        <v>13</v>
      </c>
      <c r="P3" s="94" t="s">
        <v>14</v>
      </c>
      <c r="Q3" s="94" t="s">
        <v>15</v>
      </c>
      <c r="R3" s="118"/>
    </row>
    <row r="4" ht="18.5" spans="1:50">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row>
    <row r="5" ht="26" spans="1:50">
      <c r="A5" s="2"/>
      <c r="B5" s="107" t="s">
        <v>422</v>
      </c>
      <c r="C5" s="108"/>
      <c r="D5" s="108"/>
      <c r="E5" s="108"/>
      <c r="F5" s="108"/>
      <c r="G5" s="108"/>
      <c r="H5" s="108"/>
      <c r="I5" s="108"/>
      <c r="J5" s="108"/>
      <c r="K5" s="108"/>
      <c r="L5" s="108"/>
      <c r="M5" s="108"/>
      <c r="N5" s="108"/>
      <c r="O5" s="108"/>
      <c r="P5" s="108"/>
      <c r="Q5" s="108"/>
      <c r="R5" s="2"/>
      <c r="S5" s="107" t="s">
        <v>423</v>
      </c>
      <c r="T5" s="119"/>
      <c r="V5" s="107" t="s">
        <v>424</v>
      </c>
      <c r="W5" s="119" t="s">
        <v>425</v>
      </c>
      <c r="X5" s="119" t="s">
        <v>426</v>
      </c>
      <c r="Y5" s="119" t="s">
        <v>427</v>
      </c>
      <c r="Z5" s="2"/>
      <c r="AA5" s="119" t="s">
        <v>428</v>
      </c>
      <c r="AB5" s="119"/>
      <c r="AC5" s="119"/>
      <c r="AD5" s="131">
        <v>0.12</v>
      </c>
      <c r="AE5" s="2"/>
      <c r="AF5" s="119" t="s">
        <v>429</v>
      </c>
      <c r="AG5" s="119"/>
      <c r="AH5" s="119"/>
      <c r="AI5" s="131">
        <v>0.17</v>
      </c>
      <c r="AJ5" s="2"/>
      <c r="AK5" s="119" t="s">
        <v>430</v>
      </c>
      <c r="AL5" s="119"/>
      <c r="AM5" s="119"/>
      <c r="AN5" s="131">
        <v>0.06</v>
      </c>
      <c r="AO5" s="2"/>
      <c r="AP5" s="2"/>
      <c r="AQ5" s="2"/>
      <c r="AR5" s="2"/>
      <c r="AS5" s="2"/>
      <c r="AT5" s="2"/>
      <c r="AU5" s="2"/>
      <c r="AV5" s="2"/>
      <c r="AW5" s="2"/>
      <c r="AX5" s="2"/>
    </row>
    <row r="6" ht="18.5" spans="1:50">
      <c r="A6" s="2"/>
      <c r="B6" s="2"/>
      <c r="C6" s="2"/>
      <c r="D6" s="2"/>
      <c r="E6" s="2"/>
      <c r="F6" s="2"/>
      <c r="G6" s="2"/>
      <c r="H6" s="2"/>
      <c r="I6" s="2"/>
      <c r="J6" s="2"/>
      <c r="K6" s="2"/>
      <c r="L6" s="2"/>
      <c r="M6" s="2"/>
      <c r="N6" s="2"/>
      <c r="O6" s="2"/>
      <c r="P6" s="2"/>
      <c r="Q6" s="2"/>
      <c r="R6" s="2"/>
      <c r="S6" s="2" t="s">
        <v>431</v>
      </c>
      <c r="T6" s="16">
        <v>0.482</v>
      </c>
      <c r="V6" s="2" t="s">
        <v>432</v>
      </c>
      <c r="W6" s="120">
        <f>Q153</f>
        <v>2.88878174117613</v>
      </c>
      <c r="X6" s="120">
        <f>Q7</f>
        <v>3.02744116782364</v>
      </c>
      <c r="Y6" s="99">
        <f>Q80</f>
        <v>3.11000774512792</v>
      </c>
      <c r="Z6" s="2"/>
      <c r="AA6" s="132" t="s">
        <v>26</v>
      </c>
      <c r="AB6" s="132" t="s">
        <v>433</v>
      </c>
      <c r="AC6" s="132" t="s">
        <v>89</v>
      </c>
      <c r="AD6" s="132" t="s">
        <v>434</v>
      </c>
      <c r="AE6" s="2"/>
      <c r="AF6" s="132" t="s">
        <v>26</v>
      </c>
      <c r="AG6" s="132" t="s">
        <v>433</v>
      </c>
      <c r="AH6" s="132" t="s">
        <v>89</v>
      </c>
      <c r="AI6" s="132" t="s">
        <v>434</v>
      </c>
      <c r="AJ6" s="2"/>
      <c r="AK6" s="132" t="s">
        <v>26</v>
      </c>
      <c r="AL6" s="132" t="s">
        <v>433</v>
      </c>
      <c r="AM6" s="132" t="s">
        <v>89</v>
      </c>
      <c r="AN6" s="132" t="s">
        <v>434</v>
      </c>
      <c r="AO6" s="2"/>
      <c r="AP6" s="2"/>
      <c r="AQ6" s="2"/>
      <c r="AR6" s="2"/>
      <c r="AS6" s="2"/>
      <c r="AT6" s="2"/>
      <c r="AU6" s="2"/>
      <c r="AV6" s="2"/>
      <c r="AW6" s="2"/>
      <c r="AX6" s="2"/>
    </row>
    <row r="7" ht="18.5" spans="1:50">
      <c r="A7" s="2"/>
      <c r="B7" s="8" t="s">
        <v>164</v>
      </c>
      <c r="C7" s="2"/>
      <c r="D7" s="98">
        <f>MOD!F142</f>
        <v>1.60738235294118</v>
      </c>
      <c r="E7" s="98">
        <f>MOD!G142</f>
        <v>1.45898524844721</v>
      </c>
      <c r="F7" s="98">
        <f>MOD!H142</f>
        <v>1.71582089552239</v>
      </c>
      <c r="G7" s="98">
        <f>MOD!I142</f>
        <v>1.5206132231405</v>
      </c>
      <c r="H7" s="98">
        <f>MOD!J142</f>
        <v>1.84721895424837</v>
      </c>
      <c r="I7" s="98">
        <f>MOD!K142</f>
        <v>1.33359673748103</v>
      </c>
      <c r="J7" s="98">
        <f>MOD!O142</f>
        <v>1.66628630217519</v>
      </c>
      <c r="K7" s="98">
        <f>MOD!S142</f>
        <v>2.15530973451327</v>
      </c>
      <c r="L7" s="98">
        <f>MOD!W142</f>
        <v>2.39873379559843</v>
      </c>
      <c r="M7" s="99">
        <f>L7*(1+M8)</f>
        <v>2.63860717515828</v>
      </c>
      <c r="N7" s="99">
        <f t="shared" ref="N7:Q7" si="0">M7*(1+N8)</f>
        <v>2.77053753391619</v>
      </c>
      <c r="O7" s="99">
        <f t="shared" si="0"/>
        <v>2.85365365993368</v>
      </c>
      <c r="P7" s="99">
        <f t="shared" si="0"/>
        <v>2.93926326973169</v>
      </c>
      <c r="Q7" s="99">
        <f t="shared" si="0"/>
        <v>3.02744116782364</v>
      </c>
      <c r="R7" s="2"/>
      <c r="S7" s="2" t="s">
        <v>435</v>
      </c>
      <c r="T7" s="16">
        <v>0.1</v>
      </c>
      <c r="V7" s="2" t="s">
        <v>436</v>
      </c>
      <c r="W7" s="110">
        <f>Q156</f>
        <v>4037.95829009895</v>
      </c>
      <c r="X7" s="121">
        <f>Q10</f>
        <v>4072.2105281865</v>
      </c>
      <c r="Y7" s="110">
        <f>Q83</f>
        <v>4110.268570506</v>
      </c>
      <c r="Z7" s="2"/>
      <c r="AA7" s="133">
        <v>13</v>
      </c>
      <c r="AB7" s="134">
        <f>AA7*$AD$5</f>
        <v>1.56</v>
      </c>
      <c r="AC7" s="135">
        <f>AB7/$T$9-1</f>
        <v>1.29411764705882</v>
      </c>
      <c r="AD7" s="136">
        <f>RATE(3,0,-$T$9,AB7,0)</f>
        <v>0.318879836162181</v>
      </c>
      <c r="AE7" s="8"/>
      <c r="AF7" s="133">
        <v>16</v>
      </c>
      <c r="AG7" s="134">
        <f>AF7*$AI$5</f>
        <v>2.72</v>
      </c>
      <c r="AH7" s="135">
        <f>AG7/$T$9-1</f>
        <v>3</v>
      </c>
      <c r="AI7" s="136">
        <f>RATE(3,0,-$T$9,AG7,0)</f>
        <v>0.587401051968206</v>
      </c>
      <c r="AJ7" s="8"/>
      <c r="AK7" s="133">
        <v>9</v>
      </c>
      <c r="AL7" s="134">
        <f>AK7*$AN$5</f>
        <v>0.54</v>
      </c>
      <c r="AM7" s="135">
        <f>AL7/$T$9-1</f>
        <v>-0.205882352941177</v>
      </c>
      <c r="AN7" s="136">
        <f>RATE(3,0,-$T$9,AL7,0)</f>
        <v>-0.0739631215020875</v>
      </c>
      <c r="AO7" s="2"/>
      <c r="AP7" s="2"/>
      <c r="AQ7" s="2"/>
      <c r="AR7" s="2"/>
      <c r="AS7" s="2"/>
      <c r="AT7" s="2"/>
      <c r="AU7" s="2"/>
      <c r="AV7" s="2"/>
      <c r="AW7" s="2"/>
      <c r="AX7" s="2"/>
    </row>
    <row r="8" ht="18.5" spans="1:50">
      <c r="A8" s="2"/>
      <c r="B8" s="2" t="s">
        <v>437</v>
      </c>
      <c r="C8" s="2"/>
      <c r="D8" s="98"/>
      <c r="E8" s="16">
        <f>E7/D7-1</f>
        <v>-0.0923222183088148</v>
      </c>
      <c r="F8" s="16">
        <f t="shared" ref="F8:L8" si="1">F7/E7-1</f>
        <v>0.176037178819</v>
      </c>
      <c r="G8" s="16">
        <f t="shared" si="1"/>
        <v>-0.113769259303991</v>
      </c>
      <c r="H8" s="16">
        <f t="shared" si="1"/>
        <v>0.214785539240108</v>
      </c>
      <c r="I8" s="16">
        <f t="shared" si="1"/>
        <v>-0.278051616775623</v>
      </c>
      <c r="J8" s="16">
        <f t="shared" si="1"/>
        <v>0.24946789036284</v>
      </c>
      <c r="K8" s="16">
        <f t="shared" si="1"/>
        <v>0.293481037262147</v>
      </c>
      <c r="L8" s="16">
        <f t="shared" si="1"/>
        <v>0.11294156806661</v>
      </c>
      <c r="M8" s="112">
        <v>0.1</v>
      </c>
      <c r="N8" s="112">
        <v>0.05</v>
      </c>
      <c r="O8" s="112">
        <v>0.03</v>
      </c>
      <c r="P8" s="112">
        <v>0.03</v>
      </c>
      <c r="Q8" s="112">
        <v>0.03</v>
      </c>
      <c r="R8" s="2"/>
      <c r="V8" s="2" t="s">
        <v>431</v>
      </c>
      <c r="W8" s="16">
        <f>Q183</f>
        <v>0.46</v>
      </c>
      <c r="X8" s="16">
        <f>Q37</f>
        <v>0.47</v>
      </c>
      <c r="Y8" s="16">
        <f>Q110</f>
        <v>0.48</v>
      </c>
      <c r="Z8" s="2"/>
      <c r="AA8" s="133">
        <f>AA7-1</f>
        <v>12</v>
      </c>
      <c r="AB8" s="134">
        <f t="shared" ref="AB8:AB12" si="2">AA8*$AD$5</f>
        <v>1.44</v>
      </c>
      <c r="AC8" s="135">
        <f t="shared" ref="AC8:AC12" si="3">AB8/$T$9-1</f>
        <v>1.11764705882353</v>
      </c>
      <c r="AD8" s="136">
        <f t="shared" ref="AD8:AD12" si="4">RATE(3,0,-$T$9,AB8,0)</f>
        <v>0.284156220341993</v>
      </c>
      <c r="AE8" s="8"/>
      <c r="AF8" s="133">
        <f>AF7-1</f>
        <v>15</v>
      </c>
      <c r="AG8" s="134">
        <f t="shared" ref="AG8:AG12" si="5">AF8*$AI$5</f>
        <v>2.55</v>
      </c>
      <c r="AH8" s="135">
        <f t="shared" ref="AH8:AH12" si="6">AG8/$T$9-1</f>
        <v>2.75</v>
      </c>
      <c r="AI8" s="136">
        <f t="shared" ref="AI8:AI12" si="7">RATE(3,0,-$T$9,AG8,0)</f>
        <v>0.55361625297693</v>
      </c>
      <c r="AJ8" s="8"/>
      <c r="AK8" s="133">
        <f>AK7-1</f>
        <v>8</v>
      </c>
      <c r="AL8" s="134">
        <f t="shared" ref="AL8:AL12" si="8">AK8*$AN$5</f>
        <v>0.48</v>
      </c>
      <c r="AM8" s="135">
        <f t="shared" ref="AM8:AM12" si="9">AL8/$T$9-1</f>
        <v>-0.294117647058824</v>
      </c>
      <c r="AN8" s="136">
        <f t="shared" ref="AN8:AN12" si="10">RATE(3,0,-$T$9,AL8,0)</f>
        <v>-0.109615806598379</v>
      </c>
      <c r="AO8" s="2"/>
      <c r="AP8" s="2"/>
      <c r="AQ8" s="2"/>
      <c r="AR8" s="2"/>
      <c r="AS8" s="2"/>
      <c r="AT8" s="2"/>
      <c r="AU8" s="2"/>
      <c r="AV8" s="2"/>
      <c r="AW8" s="2"/>
      <c r="AX8" s="2"/>
    </row>
    <row r="9" ht="18.5" spans="1:50">
      <c r="A9" s="2"/>
      <c r="B9" s="2"/>
      <c r="C9" s="2"/>
      <c r="D9" s="2"/>
      <c r="E9" s="2"/>
      <c r="F9" s="2"/>
      <c r="G9" s="2"/>
      <c r="H9" s="2"/>
      <c r="I9" s="2"/>
      <c r="J9" s="2"/>
      <c r="K9" s="2"/>
      <c r="L9" s="2"/>
      <c r="M9" s="2"/>
      <c r="N9" s="2"/>
      <c r="O9" s="2"/>
      <c r="P9" s="2"/>
      <c r="Q9" s="2"/>
      <c r="R9" s="2"/>
      <c r="S9" s="8" t="s">
        <v>23</v>
      </c>
      <c r="T9" s="98">
        <v>0.68</v>
      </c>
      <c r="V9" s="2" t="s">
        <v>438</v>
      </c>
      <c r="W9" s="99">
        <f>Q186</f>
        <v>1.49882306363023</v>
      </c>
      <c r="X9" s="99">
        <f>Q40</f>
        <v>1.67684191745249</v>
      </c>
      <c r="Y9" s="99">
        <f>Q113</f>
        <v>1.77993119455526</v>
      </c>
      <c r="Z9" s="2"/>
      <c r="AA9" s="133">
        <f t="shared" ref="AA9:AA12" si="11">AA8-1</f>
        <v>11</v>
      </c>
      <c r="AB9" s="134">
        <f t="shared" si="2"/>
        <v>1.32</v>
      </c>
      <c r="AC9" s="135">
        <f t="shared" si="3"/>
        <v>0.941176470588235</v>
      </c>
      <c r="AD9" s="136">
        <f t="shared" si="4"/>
        <v>0.247445764649335</v>
      </c>
      <c r="AE9" s="8"/>
      <c r="AF9" s="133">
        <f t="shared" ref="AF9:AF12" si="12">AF8-1</f>
        <v>14</v>
      </c>
      <c r="AG9" s="134">
        <f t="shared" si="5"/>
        <v>2.38</v>
      </c>
      <c r="AH9" s="135">
        <f t="shared" si="6"/>
        <v>2.5</v>
      </c>
      <c r="AI9" s="136">
        <f t="shared" si="7"/>
        <v>0.518294485937831</v>
      </c>
      <c r="AJ9" s="8"/>
      <c r="AK9" s="133">
        <f t="shared" ref="AK9:AK12" si="13">AK8-1</f>
        <v>7</v>
      </c>
      <c r="AL9" s="134">
        <f t="shared" si="8"/>
        <v>0.42</v>
      </c>
      <c r="AM9" s="135">
        <f t="shared" si="9"/>
        <v>-0.382352941176471</v>
      </c>
      <c r="AN9" s="136">
        <f t="shared" si="10"/>
        <v>-0.1483781558971</v>
      </c>
      <c r="AO9" s="2"/>
      <c r="AP9" s="2"/>
      <c r="AQ9" s="2"/>
      <c r="AR9" s="2"/>
      <c r="AS9" s="2"/>
      <c r="AT9" s="2"/>
      <c r="AU9" s="2"/>
      <c r="AV9" s="2"/>
      <c r="AW9" s="2"/>
      <c r="AX9" s="2"/>
    </row>
    <row r="10" ht="18.5" spans="1:50">
      <c r="A10" s="2"/>
      <c r="B10" s="8" t="s">
        <v>436</v>
      </c>
      <c r="C10" s="2"/>
      <c r="D10" s="109">
        <f>MOD!F100</f>
        <v>918</v>
      </c>
      <c r="E10" s="109">
        <f>MOD!G100</f>
        <v>1288</v>
      </c>
      <c r="F10" s="109">
        <f>MOD!H100</f>
        <v>1474</v>
      </c>
      <c r="G10" s="109">
        <f>MOD!I100</f>
        <v>2420</v>
      </c>
      <c r="H10" s="109">
        <f>MOD!J100</f>
        <v>2448</v>
      </c>
      <c r="I10" s="109">
        <f>MOD!K100</f>
        <v>2636</v>
      </c>
      <c r="J10" s="109">
        <f>MOD!O100</f>
        <v>3402</v>
      </c>
      <c r="K10" s="109">
        <f>MOD!S100</f>
        <v>3390</v>
      </c>
      <c r="L10" s="109">
        <f>MOD!W100</f>
        <v>3317</v>
      </c>
      <c r="M10" s="110">
        <f>L10*(1+M11)</f>
        <v>3549.19</v>
      </c>
      <c r="N10" s="110">
        <f t="shared" ref="N10:Q10" si="14">M10*(1+N11)</f>
        <v>3726.6495</v>
      </c>
      <c r="O10" s="110">
        <f t="shared" si="14"/>
        <v>3838.448985</v>
      </c>
      <c r="P10" s="110">
        <f t="shared" si="14"/>
        <v>3953.60245455</v>
      </c>
      <c r="Q10" s="110">
        <f t="shared" si="14"/>
        <v>4072.2105281865</v>
      </c>
      <c r="R10" s="2"/>
      <c r="V10" s="2" t="s">
        <v>435</v>
      </c>
      <c r="W10" s="122">
        <f>Q197</f>
        <v>0.0446637368469764</v>
      </c>
      <c r="X10" s="16">
        <f>Q51</f>
        <v>0.0692234165277616</v>
      </c>
      <c r="Y10" s="16">
        <f>Q124</f>
        <v>0.0940258373450299</v>
      </c>
      <c r="Z10" s="2"/>
      <c r="AA10" s="133">
        <f t="shared" si="11"/>
        <v>10</v>
      </c>
      <c r="AB10" s="134">
        <f t="shared" si="2"/>
        <v>1.2</v>
      </c>
      <c r="AC10" s="135">
        <f t="shared" si="3"/>
        <v>0.764705882352941</v>
      </c>
      <c r="AD10" s="136">
        <f t="shared" si="4"/>
        <v>0.20843727005343</v>
      </c>
      <c r="AE10" s="8"/>
      <c r="AF10" s="133">
        <f t="shared" si="12"/>
        <v>13</v>
      </c>
      <c r="AG10" s="134">
        <f t="shared" si="5"/>
        <v>2.21</v>
      </c>
      <c r="AH10" s="135">
        <f t="shared" si="6"/>
        <v>2.25</v>
      </c>
      <c r="AI10" s="136">
        <f t="shared" si="7"/>
        <v>0.481248034203685</v>
      </c>
      <c r="AJ10" s="8"/>
      <c r="AK10" s="133">
        <f t="shared" si="13"/>
        <v>6</v>
      </c>
      <c r="AL10" s="134">
        <f t="shared" si="8"/>
        <v>0.36</v>
      </c>
      <c r="AM10" s="135">
        <f t="shared" si="9"/>
        <v>-0.470588235294118</v>
      </c>
      <c r="AN10" s="136">
        <f t="shared" si="10"/>
        <v>-0.191032273315538</v>
      </c>
      <c r="AO10" s="2"/>
      <c r="AP10" s="2"/>
      <c r="AQ10" s="2"/>
      <c r="AR10" s="2"/>
      <c r="AS10" s="2"/>
      <c r="AT10" s="2"/>
      <c r="AU10" s="2"/>
      <c r="AV10" s="2"/>
      <c r="AW10" s="2"/>
      <c r="AX10" s="2"/>
    </row>
    <row r="11" ht="18.5" spans="1:50">
      <c r="A11" s="2"/>
      <c r="B11" s="2" t="s">
        <v>437</v>
      </c>
      <c r="C11" s="2"/>
      <c r="D11" s="109"/>
      <c r="E11" s="16">
        <f>E10/D10-1</f>
        <v>0.403050108932462</v>
      </c>
      <c r="F11" s="16">
        <f t="shared" ref="F11:L11" si="15">F10/E10-1</f>
        <v>0.144409937888199</v>
      </c>
      <c r="G11" s="16">
        <f t="shared" si="15"/>
        <v>0.641791044776119</v>
      </c>
      <c r="H11" s="16">
        <f t="shared" si="15"/>
        <v>0.0115702479338844</v>
      </c>
      <c r="I11" s="16">
        <f t="shared" si="15"/>
        <v>0.076797385620915</v>
      </c>
      <c r="J11" s="16">
        <f t="shared" si="15"/>
        <v>0.290591805766313</v>
      </c>
      <c r="K11" s="16">
        <f t="shared" si="15"/>
        <v>-0.00352733686067019</v>
      </c>
      <c r="L11" s="16">
        <f t="shared" si="15"/>
        <v>-0.0215339233038349</v>
      </c>
      <c r="M11" s="112">
        <v>0.07</v>
      </c>
      <c r="N11" s="112">
        <v>0.05</v>
      </c>
      <c r="O11" s="112">
        <v>0.03</v>
      </c>
      <c r="P11" s="112">
        <v>0.03</v>
      </c>
      <c r="Q11" s="112">
        <v>0.03</v>
      </c>
      <c r="R11" s="2"/>
      <c r="V11" s="2" t="s">
        <v>439</v>
      </c>
      <c r="W11" s="99">
        <f>Q201</f>
        <v>0.145528345422086</v>
      </c>
      <c r="X11" s="99">
        <f>Q55</f>
        <v>0.246971758517073</v>
      </c>
      <c r="Y11" s="99">
        <f>Q128</f>
        <v>0.348665668717911</v>
      </c>
      <c r="Z11" s="2"/>
      <c r="AA11" s="133">
        <f t="shared" si="11"/>
        <v>9</v>
      </c>
      <c r="AB11" s="134">
        <f t="shared" si="2"/>
        <v>1.08</v>
      </c>
      <c r="AC11" s="135">
        <f t="shared" si="3"/>
        <v>0.588235294117647</v>
      </c>
      <c r="AD11" s="136">
        <f t="shared" si="4"/>
        <v>0.166733356198461</v>
      </c>
      <c r="AE11" s="8"/>
      <c r="AF11" s="133">
        <f t="shared" si="12"/>
        <v>12</v>
      </c>
      <c r="AG11" s="134">
        <f t="shared" si="5"/>
        <v>2.04</v>
      </c>
      <c r="AH11" s="135">
        <f t="shared" si="6"/>
        <v>2</v>
      </c>
      <c r="AI11" s="136">
        <f t="shared" si="7"/>
        <v>0.442249570304098</v>
      </c>
      <c r="AJ11" s="8"/>
      <c r="AK11" s="133">
        <f t="shared" si="13"/>
        <v>5</v>
      </c>
      <c r="AL11" s="134">
        <f t="shared" si="8"/>
        <v>0.3</v>
      </c>
      <c r="AM11" s="135">
        <f t="shared" si="9"/>
        <v>-0.558823529411765</v>
      </c>
      <c r="AN11" s="136">
        <f t="shared" si="10"/>
        <v>-0.23873222299105</v>
      </c>
      <c r="AO11" s="2"/>
      <c r="AP11" s="2"/>
      <c r="AQ11" s="2"/>
      <c r="AR11" s="2"/>
      <c r="AS11" s="2"/>
      <c r="AT11" s="2"/>
      <c r="AU11" s="2"/>
      <c r="AV11" s="2"/>
      <c r="AW11" s="2"/>
      <c r="AX11" s="2"/>
    </row>
    <row r="12" ht="18.5" spans="1:50">
      <c r="A12" s="2"/>
      <c r="B12" s="2" t="s">
        <v>149</v>
      </c>
      <c r="C12" s="2"/>
      <c r="D12" s="109"/>
      <c r="E12" s="110">
        <f>E10-D10</f>
        <v>370</v>
      </c>
      <c r="F12" s="110">
        <f t="shared" ref="F12:Q12" si="16">F10-E10</f>
        <v>186</v>
      </c>
      <c r="G12" s="110">
        <f t="shared" si="16"/>
        <v>946</v>
      </c>
      <c r="H12" s="110">
        <f t="shared" si="16"/>
        <v>28</v>
      </c>
      <c r="I12" s="110">
        <f t="shared" si="16"/>
        <v>188</v>
      </c>
      <c r="J12" s="110">
        <f t="shared" si="16"/>
        <v>766</v>
      </c>
      <c r="K12" s="110">
        <f t="shared" si="16"/>
        <v>-12</v>
      </c>
      <c r="L12" s="110">
        <f t="shared" si="16"/>
        <v>-73</v>
      </c>
      <c r="M12" s="110">
        <f t="shared" si="16"/>
        <v>232.19</v>
      </c>
      <c r="N12" s="110">
        <f t="shared" si="16"/>
        <v>177.4595</v>
      </c>
      <c r="O12" s="110">
        <f t="shared" si="16"/>
        <v>111.799485</v>
      </c>
      <c r="P12" s="110">
        <f t="shared" si="16"/>
        <v>115.15346955</v>
      </c>
      <c r="Q12" s="110">
        <f t="shared" si="16"/>
        <v>118.6080736365</v>
      </c>
      <c r="R12" s="2"/>
      <c r="V12" s="8" t="s">
        <v>65</v>
      </c>
      <c r="W12" s="98">
        <f>Q221</f>
        <v>0.0610953777480571</v>
      </c>
      <c r="X12" s="98">
        <f>Q75</f>
        <v>0.115253458648642</v>
      </c>
      <c r="Y12" s="98">
        <f>Q148</f>
        <v>0.170616890793991</v>
      </c>
      <c r="Z12" s="2"/>
      <c r="AA12" s="133">
        <f t="shared" si="11"/>
        <v>8</v>
      </c>
      <c r="AB12" s="134">
        <f t="shared" si="2"/>
        <v>0.96</v>
      </c>
      <c r="AC12" s="135">
        <f t="shared" si="3"/>
        <v>0.411764705882353</v>
      </c>
      <c r="AD12" s="136">
        <f t="shared" si="4"/>
        <v>0.121813787760399</v>
      </c>
      <c r="AE12" s="8"/>
      <c r="AF12" s="133">
        <f t="shared" si="12"/>
        <v>11</v>
      </c>
      <c r="AG12" s="134">
        <f t="shared" si="5"/>
        <v>1.87</v>
      </c>
      <c r="AH12" s="135">
        <f t="shared" si="6"/>
        <v>1.75</v>
      </c>
      <c r="AI12" s="136">
        <f t="shared" si="7"/>
        <v>0.401019665327401</v>
      </c>
      <c r="AJ12" s="8"/>
      <c r="AK12" s="133">
        <f t="shared" si="13"/>
        <v>4</v>
      </c>
      <c r="AL12" s="134">
        <f t="shared" si="8"/>
        <v>0.24</v>
      </c>
      <c r="AM12" s="135">
        <f t="shared" si="9"/>
        <v>-0.647058823529412</v>
      </c>
      <c r="AN12" s="136">
        <f t="shared" si="10"/>
        <v>-0.293301597369192</v>
      </c>
      <c r="AO12" s="2"/>
      <c r="AP12" s="2"/>
      <c r="AQ12" s="2"/>
      <c r="AR12" s="2"/>
      <c r="AS12" s="2"/>
      <c r="AT12" s="2"/>
      <c r="AU12" s="2"/>
      <c r="AV12" s="2"/>
      <c r="AW12" s="2"/>
      <c r="AX12" s="2"/>
    </row>
    <row r="13" ht="18.5" spans="1:50">
      <c r="A13" s="2"/>
      <c r="B13" s="11" t="s">
        <v>440</v>
      </c>
      <c r="C13" s="2"/>
      <c r="D13" s="109"/>
      <c r="E13" s="109"/>
      <c r="F13" s="109"/>
      <c r="G13" s="109"/>
      <c r="H13" s="109"/>
      <c r="I13" s="109"/>
      <c r="J13" s="109"/>
      <c r="K13" s="109"/>
      <c r="L13" s="109"/>
      <c r="M13" s="113">
        <v>4997</v>
      </c>
      <c r="N13" s="113">
        <v>5208</v>
      </c>
      <c r="O13" s="113">
        <v>5394</v>
      </c>
      <c r="P13" s="113">
        <f>O13*(1+P14)</f>
        <v>5588.184</v>
      </c>
      <c r="Q13" s="113">
        <f>P13*(1+Q14)</f>
        <v>5789.358624</v>
      </c>
      <c r="R13" s="2"/>
      <c r="V13" s="8" t="s">
        <v>254</v>
      </c>
      <c r="W13" s="97">
        <f>Q196*(1-Q211)/6000</f>
        <v>0.0730629153459593</v>
      </c>
      <c r="X13" s="97">
        <f>Q50*(1-Q65)/6000</f>
        <v>0.12504464373628</v>
      </c>
      <c r="Y13" s="97">
        <f>Q123*(1-Q138)/6000</f>
        <v>0.17818328610838</v>
      </c>
      <c r="Z13" s="2"/>
      <c r="AA13" s="2"/>
      <c r="AB13" s="2"/>
      <c r="AC13" s="2"/>
      <c r="AD13" s="2"/>
      <c r="AE13" s="2"/>
      <c r="AF13" s="2"/>
      <c r="AG13" s="2"/>
      <c r="AH13" s="2"/>
      <c r="AI13" s="2"/>
      <c r="AJ13" s="2"/>
      <c r="AK13" s="2"/>
      <c r="AL13" s="2"/>
      <c r="AM13" s="2"/>
      <c r="AN13" s="2"/>
      <c r="AO13" s="2"/>
      <c r="AP13" s="2"/>
      <c r="AQ13" s="2"/>
      <c r="AR13" s="2"/>
      <c r="AS13" s="2"/>
      <c r="AT13" s="2"/>
      <c r="AU13" s="2"/>
      <c r="AV13" s="2"/>
      <c r="AW13" s="2"/>
      <c r="AX13" s="2"/>
    </row>
    <row r="14" ht="26" spans="1:50">
      <c r="A14" s="2"/>
      <c r="B14" s="2" t="s">
        <v>437</v>
      </c>
      <c r="C14" s="2"/>
      <c r="D14" s="109"/>
      <c r="E14" s="109"/>
      <c r="F14" s="109"/>
      <c r="G14" s="109"/>
      <c r="H14" s="109"/>
      <c r="I14" s="109"/>
      <c r="J14" s="109"/>
      <c r="K14" s="109"/>
      <c r="L14" s="109"/>
      <c r="M14" s="114">
        <f>M13/L10-1</f>
        <v>0.506481760627073</v>
      </c>
      <c r="N14" s="114">
        <f>N13/M13-1</f>
        <v>0.0422253352011206</v>
      </c>
      <c r="O14" s="114">
        <f>O13/N13-1</f>
        <v>0.0357142857142858</v>
      </c>
      <c r="P14" s="114">
        <v>0.036</v>
      </c>
      <c r="Q14" s="114">
        <v>0.036</v>
      </c>
      <c r="R14" s="2"/>
      <c r="V14" s="107" t="s">
        <v>441</v>
      </c>
      <c r="W14" s="119" t="s">
        <v>425</v>
      </c>
      <c r="X14" s="119" t="s">
        <v>426</v>
      </c>
      <c r="Y14" s="119" t="s">
        <v>427</v>
      </c>
      <c r="Z14" s="2"/>
      <c r="AA14" s="119" t="s">
        <v>442</v>
      </c>
      <c r="AB14" s="119"/>
      <c r="AC14" s="119"/>
      <c r="AD14" s="131">
        <v>0.12</v>
      </c>
      <c r="AE14" s="2"/>
      <c r="AF14" s="119" t="s">
        <v>443</v>
      </c>
      <c r="AG14" s="119"/>
      <c r="AH14" s="119"/>
      <c r="AI14" s="131">
        <v>0.17</v>
      </c>
      <c r="AJ14" s="2"/>
      <c r="AK14" s="119" t="s">
        <v>443</v>
      </c>
      <c r="AL14" s="119"/>
      <c r="AM14" s="119"/>
      <c r="AN14" s="131">
        <v>0.17</v>
      </c>
      <c r="AO14" s="2"/>
      <c r="AP14" s="2"/>
      <c r="AQ14" s="2"/>
      <c r="AR14" s="2"/>
      <c r="AS14" s="2"/>
      <c r="AT14" s="2"/>
      <c r="AU14" s="2"/>
      <c r="AV14" s="2"/>
      <c r="AW14" s="2"/>
      <c r="AX14" s="2"/>
    </row>
    <row r="15" ht="18.6" customHeight="1" spans="1:50">
      <c r="A15" s="2"/>
      <c r="B15" s="2"/>
      <c r="C15" s="2"/>
      <c r="D15" s="2"/>
      <c r="E15" s="2"/>
      <c r="F15" s="2"/>
      <c r="G15" s="2"/>
      <c r="H15" s="2"/>
      <c r="I15" s="2"/>
      <c r="J15" s="2"/>
      <c r="K15" s="2"/>
      <c r="L15" s="2"/>
      <c r="M15" s="2"/>
      <c r="N15" s="2"/>
      <c r="O15" s="2"/>
      <c r="P15" s="2"/>
      <c r="Q15" s="2"/>
      <c r="R15" s="2"/>
      <c r="V15" s="2" t="s">
        <v>444</v>
      </c>
      <c r="W15" s="123">
        <f>W12</f>
        <v>0.0610953777480571</v>
      </c>
      <c r="X15" s="123">
        <f>X12</f>
        <v>0.115253458648642</v>
      </c>
      <c r="Y15" s="123">
        <f>Y12</f>
        <v>0.170616890793991</v>
      </c>
      <c r="Z15" s="2"/>
      <c r="AA15" s="137" t="s">
        <v>445</v>
      </c>
      <c r="AB15" s="137"/>
      <c r="AC15" s="137"/>
      <c r="AD15" s="137"/>
      <c r="AE15" s="2"/>
      <c r="AF15" s="137" t="s">
        <v>446</v>
      </c>
      <c r="AG15" s="137"/>
      <c r="AH15" s="137"/>
      <c r="AI15" s="137"/>
      <c r="AJ15" s="2"/>
      <c r="AK15" s="137" t="s">
        <v>447</v>
      </c>
      <c r="AL15" s="137"/>
      <c r="AM15" s="137"/>
      <c r="AN15" s="137"/>
      <c r="AO15" s="2"/>
      <c r="AP15" s="2"/>
      <c r="AQ15" s="2"/>
      <c r="AR15" s="2"/>
      <c r="AS15" s="2"/>
      <c r="AT15" s="2"/>
      <c r="AU15" s="2"/>
      <c r="AV15" s="2"/>
      <c r="AW15" s="2"/>
      <c r="AX15" s="2"/>
    </row>
    <row r="16" ht="18.5" spans="1:50">
      <c r="A16" s="2"/>
      <c r="B16" s="8" t="s">
        <v>448</v>
      </c>
      <c r="C16" s="2"/>
      <c r="D16" s="96">
        <f t="shared" ref="D16:Q16" si="17">D7*D10</f>
        <v>1475.577</v>
      </c>
      <c r="E16" s="96">
        <f t="shared" si="17"/>
        <v>1879.173</v>
      </c>
      <c r="F16" s="96">
        <f t="shared" si="17"/>
        <v>2529.12</v>
      </c>
      <c r="G16" s="96">
        <f t="shared" si="17"/>
        <v>3679.884</v>
      </c>
      <c r="H16" s="96">
        <f t="shared" si="17"/>
        <v>4521.992</v>
      </c>
      <c r="I16" s="96">
        <f t="shared" si="17"/>
        <v>3515.361</v>
      </c>
      <c r="J16" s="96">
        <f t="shared" si="17"/>
        <v>5668.706</v>
      </c>
      <c r="K16" s="96">
        <f t="shared" si="17"/>
        <v>7306.5</v>
      </c>
      <c r="L16" s="96">
        <f t="shared" si="17"/>
        <v>7956.6</v>
      </c>
      <c r="M16" s="96">
        <f t="shared" si="17"/>
        <v>9364.9182</v>
      </c>
      <c r="N16" s="96">
        <f t="shared" si="17"/>
        <v>10324.8223155</v>
      </c>
      <c r="O16" s="96">
        <f t="shared" si="17"/>
        <v>10953.603994514</v>
      </c>
      <c r="P16" s="96">
        <f t="shared" si="17"/>
        <v>11620.6784777798</v>
      </c>
      <c r="Q16" s="96">
        <f t="shared" si="17"/>
        <v>12328.3777970766</v>
      </c>
      <c r="R16" s="2"/>
      <c r="V16" s="2" t="s">
        <v>74</v>
      </c>
      <c r="W16" s="124">
        <f>X16*(1-30%)</f>
        <v>9.338</v>
      </c>
      <c r="X16" s="124">
        <f>AVERAGE(5.3,27.4,12.5,10.9,10.6)</f>
        <v>13.34</v>
      </c>
      <c r="Y16" s="124">
        <f>X16*(1+20%)</f>
        <v>16.008</v>
      </c>
      <c r="Z16" s="2"/>
      <c r="AA16" s="137"/>
      <c r="AB16" s="137"/>
      <c r="AC16" s="137"/>
      <c r="AD16" s="137"/>
      <c r="AE16" s="2"/>
      <c r="AF16" s="137"/>
      <c r="AG16" s="137"/>
      <c r="AH16" s="137"/>
      <c r="AI16" s="137"/>
      <c r="AJ16" s="2"/>
      <c r="AK16" s="137"/>
      <c r="AL16" s="137"/>
      <c r="AM16" s="137"/>
      <c r="AN16" s="137"/>
      <c r="AO16" s="2"/>
      <c r="AP16" s="2"/>
      <c r="AQ16" s="2"/>
      <c r="AR16" s="2"/>
      <c r="AS16" s="2"/>
      <c r="AT16" s="2"/>
      <c r="AU16" s="2"/>
      <c r="AV16" s="2"/>
      <c r="AW16" s="2"/>
      <c r="AX16" s="2"/>
    </row>
    <row r="17" ht="18.5" spans="1:50">
      <c r="A17" s="2"/>
      <c r="B17" s="2" t="s">
        <v>437</v>
      </c>
      <c r="C17" s="2"/>
      <c r="D17" s="96"/>
      <c r="E17" s="16">
        <f>E16/D16-1</f>
        <v>0.273517410477393</v>
      </c>
      <c r="F17" s="16">
        <f t="shared" ref="F17:M17" si="18">F16/E16-1</f>
        <v>0.345868634766464</v>
      </c>
      <c r="G17" s="16">
        <f t="shared" si="18"/>
        <v>0.455005693680015</v>
      </c>
      <c r="H17" s="16">
        <f t="shared" si="18"/>
        <v>0.228840909115613</v>
      </c>
      <c r="I17" s="16">
        <f t="shared" si="18"/>
        <v>-0.222607868390745</v>
      </c>
      <c r="J17" s="16">
        <f t="shared" si="18"/>
        <v>0.612553020870403</v>
      </c>
      <c r="K17" s="16">
        <f t="shared" si="18"/>
        <v>0.288918493920835</v>
      </c>
      <c r="L17" s="16">
        <f t="shared" si="18"/>
        <v>0.0889755696982142</v>
      </c>
      <c r="M17" s="16">
        <f t="shared" si="18"/>
        <v>0.177</v>
      </c>
      <c r="N17" s="16">
        <f t="shared" ref="N17" si="19">N16/M16-1</f>
        <v>0.1025</v>
      </c>
      <c r="O17" s="16">
        <f t="shared" ref="O17" si="20">O16/N16-1</f>
        <v>0.0609</v>
      </c>
      <c r="P17" s="16">
        <f t="shared" ref="P17" si="21">P16/O16-1</f>
        <v>0.0609</v>
      </c>
      <c r="Q17" s="16">
        <f t="shared" ref="Q17" si="22">Q16/P16-1</f>
        <v>0.0609000000000002</v>
      </c>
      <c r="R17" s="2"/>
      <c r="V17" s="8" t="s">
        <v>449</v>
      </c>
      <c r="W17" s="98">
        <f>W15*W16</f>
        <v>0.570508637411357</v>
      </c>
      <c r="X17" s="98">
        <f>X15*X16</f>
        <v>1.53748113837288</v>
      </c>
      <c r="Y17" s="98">
        <f>Y15*Y16</f>
        <v>2.7312351878302</v>
      </c>
      <c r="Z17" s="2"/>
      <c r="AA17" s="137"/>
      <c r="AB17" s="137"/>
      <c r="AC17" s="137"/>
      <c r="AD17" s="137"/>
      <c r="AE17" s="2"/>
      <c r="AF17" s="137"/>
      <c r="AG17" s="137"/>
      <c r="AH17" s="137"/>
      <c r="AI17" s="137"/>
      <c r="AJ17" s="2"/>
      <c r="AK17" s="137"/>
      <c r="AL17" s="137"/>
      <c r="AM17" s="137"/>
      <c r="AN17" s="137"/>
      <c r="AO17" s="2"/>
      <c r="AP17" s="2"/>
      <c r="AQ17" s="2"/>
      <c r="AR17" s="2"/>
      <c r="AS17" s="2"/>
      <c r="AT17" s="2"/>
      <c r="AU17" s="2"/>
      <c r="AV17" s="2"/>
      <c r="AW17" s="2"/>
      <c r="AX17" s="2"/>
    </row>
    <row r="18" ht="18.5" spans="1:50">
      <c r="A18" s="2"/>
      <c r="B18" s="8"/>
      <c r="C18" s="2"/>
      <c r="D18" s="96"/>
      <c r="E18" s="96"/>
      <c r="F18" s="96"/>
      <c r="G18" s="96"/>
      <c r="H18" s="96"/>
      <c r="I18" s="96"/>
      <c r="J18" s="96"/>
      <c r="K18" s="96"/>
      <c r="L18" s="96"/>
      <c r="M18" s="2"/>
      <c r="N18" s="2"/>
      <c r="O18" s="2"/>
      <c r="P18" s="2"/>
      <c r="Q18" s="2"/>
      <c r="R18" s="2"/>
      <c r="V18" s="2" t="s">
        <v>89</v>
      </c>
      <c r="W18" s="16">
        <f>W17/$T$9-1</f>
        <v>-0.161016709689181</v>
      </c>
      <c r="X18" s="16">
        <f t="shared" ref="X18:Y18" si="23">X17/$T$9-1</f>
        <v>1.26100167407776</v>
      </c>
      <c r="Y18" s="16">
        <f t="shared" si="23"/>
        <v>3.01652233504442</v>
      </c>
      <c r="Z18" s="2"/>
      <c r="AA18" s="137"/>
      <c r="AB18" s="137"/>
      <c r="AC18" s="137"/>
      <c r="AD18" s="137"/>
      <c r="AE18" s="2"/>
      <c r="AF18" s="137"/>
      <c r="AG18" s="137"/>
      <c r="AH18" s="137"/>
      <c r="AI18" s="137"/>
      <c r="AJ18" s="2"/>
      <c r="AK18" s="137"/>
      <c r="AL18" s="137"/>
      <c r="AM18" s="137"/>
      <c r="AN18" s="137"/>
      <c r="AO18" s="2"/>
      <c r="AP18" s="2"/>
      <c r="AQ18" s="2"/>
      <c r="AR18" s="2"/>
      <c r="AS18" s="2"/>
      <c r="AT18" s="2"/>
      <c r="AU18" s="2"/>
      <c r="AV18" s="2"/>
      <c r="AW18" s="2"/>
      <c r="AX18" s="2"/>
    </row>
    <row r="19" ht="18.5" spans="1:50">
      <c r="A19" s="2"/>
      <c r="B19" s="8" t="s">
        <v>450</v>
      </c>
      <c r="C19" s="2"/>
      <c r="D19" s="95">
        <f>MOD!F65</f>
        <v>255.038</v>
      </c>
      <c r="E19" s="95">
        <f>MOD!G65</f>
        <v>333.018</v>
      </c>
      <c r="F19" s="95">
        <f>MOD!H65</f>
        <v>505.824</v>
      </c>
      <c r="G19" s="95">
        <f>MOD!I65</f>
        <v>896.382</v>
      </c>
      <c r="H19" s="95">
        <f>MOD!J65</f>
        <v>1405.484</v>
      </c>
      <c r="I19" s="95">
        <f>MOD!K65</f>
        <v>2466.92</v>
      </c>
      <c r="J19" s="95">
        <f>MOD!O65</f>
        <v>2620.278</v>
      </c>
      <c r="K19" s="95">
        <f>MOD!S65</f>
        <v>2543.3</v>
      </c>
      <c r="L19" s="95">
        <f>MOD!W65</f>
        <v>2350.3</v>
      </c>
      <c r="M19" s="95">
        <f>L19*(1+M20)</f>
        <v>2232.785</v>
      </c>
      <c r="N19" s="95">
        <f t="shared" ref="N19:Q19" si="24">M19*(1+N20)</f>
        <v>2165.80145</v>
      </c>
      <c r="O19" s="95">
        <f t="shared" si="24"/>
        <v>2100.8274065</v>
      </c>
      <c r="P19" s="95">
        <f t="shared" si="24"/>
        <v>2037.802584305</v>
      </c>
      <c r="Q19" s="95">
        <f t="shared" si="24"/>
        <v>1976.66850677585</v>
      </c>
      <c r="R19" s="2"/>
      <c r="V19" s="8" t="s">
        <v>451</v>
      </c>
      <c r="W19" s="125">
        <f>RATE(3,0,-$T$9,W17,0)</f>
        <v>-0.0568420342280146</v>
      </c>
      <c r="X19" s="125">
        <f t="shared" ref="X19:Y19" si="25">RATE(3,0,-$T$9,X17,0)</f>
        <v>0.312502969429341</v>
      </c>
      <c r="Y19" s="125">
        <f t="shared" si="25"/>
        <v>0.589583680546818</v>
      </c>
      <c r="Z19" s="2"/>
      <c r="AA19" s="137"/>
      <c r="AB19" s="137"/>
      <c r="AC19" s="137"/>
      <c r="AD19" s="137"/>
      <c r="AE19" s="2"/>
      <c r="AF19" s="137"/>
      <c r="AG19" s="137"/>
      <c r="AH19" s="137"/>
      <c r="AI19" s="137"/>
      <c r="AJ19" s="2"/>
      <c r="AK19" s="137"/>
      <c r="AL19" s="137"/>
      <c r="AM19" s="137"/>
      <c r="AN19" s="137"/>
      <c r="AO19" s="2"/>
      <c r="AP19" s="2"/>
      <c r="AQ19" s="2"/>
      <c r="AR19" s="2"/>
      <c r="AS19" s="2"/>
      <c r="AT19" s="2"/>
      <c r="AU19" s="2"/>
      <c r="AV19" s="2"/>
      <c r="AW19" s="2"/>
      <c r="AX19" s="2"/>
    </row>
    <row r="20" ht="26" spans="1:50">
      <c r="A20" s="2"/>
      <c r="B20" s="2" t="s">
        <v>437</v>
      </c>
      <c r="C20" s="2"/>
      <c r="D20" s="109"/>
      <c r="E20" s="16">
        <f>E19/D19-1</f>
        <v>0.305758357578086</v>
      </c>
      <c r="F20" s="16">
        <f t="shared" ref="F20:L20" si="26">F19/E19-1</f>
        <v>0.518908887807866</v>
      </c>
      <c r="G20" s="16">
        <f t="shared" si="26"/>
        <v>0.77212231922566</v>
      </c>
      <c r="H20" s="16">
        <f t="shared" si="26"/>
        <v>0.567952056154631</v>
      </c>
      <c r="I20" s="16">
        <f t="shared" si="26"/>
        <v>0.755210304777571</v>
      </c>
      <c r="J20" s="16">
        <f t="shared" si="26"/>
        <v>0.06216577756879</v>
      </c>
      <c r="K20" s="16">
        <f t="shared" si="26"/>
        <v>-0.0293777988442446</v>
      </c>
      <c r="L20" s="16">
        <f t="shared" si="26"/>
        <v>-0.0758856603625211</v>
      </c>
      <c r="M20" s="112">
        <v>-0.05</v>
      </c>
      <c r="N20" s="112">
        <v>-0.03</v>
      </c>
      <c r="O20" s="112">
        <v>-0.03</v>
      </c>
      <c r="P20" s="112">
        <v>-0.03</v>
      </c>
      <c r="Q20" s="112">
        <v>-0.03</v>
      </c>
      <c r="R20" s="2"/>
      <c r="V20" s="107" t="s">
        <v>452</v>
      </c>
      <c r="W20" s="119" t="s">
        <v>425</v>
      </c>
      <c r="X20" s="119" t="s">
        <v>426</v>
      </c>
      <c r="Y20" s="119" t="s">
        <v>427</v>
      </c>
      <c r="Z20" s="2"/>
      <c r="AA20" s="137"/>
      <c r="AB20" s="137"/>
      <c r="AC20" s="137"/>
      <c r="AD20" s="137"/>
      <c r="AE20" s="2"/>
      <c r="AF20" s="137"/>
      <c r="AG20" s="137"/>
      <c r="AH20" s="137"/>
      <c r="AI20" s="137"/>
      <c r="AJ20" s="2"/>
      <c r="AK20" s="137"/>
      <c r="AL20" s="137"/>
      <c r="AM20" s="137"/>
      <c r="AN20" s="137"/>
      <c r="AO20" s="2"/>
      <c r="AP20" s="2"/>
      <c r="AQ20" s="2"/>
      <c r="AR20" s="2"/>
      <c r="AS20" s="2"/>
      <c r="AT20" s="2"/>
      <c r="AU20" s="2"/>
      <c r="AV20" s="2"/>
      <c r="AW20" s="2"/>
      <c r="AX20" s="2"/>
    </row>
    <row r="21" ht="18.5" spans="1:50">
      <c r="A21" s="2"/>
      <c r="B21" s="2"/>
      <c r="C21" s="2"/>
      <c r="D21" s="110"/>
      <c r="E21" s="110"/>
      <c r="F21" s="110"/>
      <c r="G21" s="110"/>
      <c r="H21" s="110"/>
      <c r="I21" s="110"/>
      <c r="J21" s="110"/>
      <c r="K21" s="110"/>
      <c r="L21" s="110"/>
      <c r="M21" s="2"/>
      <c r="N21" s="2"/>
      <c r="O21" s="2"/>
      <c r="P21" s="2"/>
      <c r="Q21" s="2"/>
      <c r="R21" s="2"/>
      <c r="V21" s="2" t="s">
        <v>29</v>
      </c>
      <c r="W21" s="123">
        <f>W17</f>
        <v>0.570508637411357</v>
      </c>
      <c r="X21" s="123">
        <f>X17</f>
        <v>1.53748113837288</v>
      </c>
      <c r="Y21" s="123">
        <f>Y17</f>
        <v>2.7312351878302</v>
      </c>
      <c r="Z21" s="2"/>
      <c r="AA21" s="137"/>
      <c r="AB21" s="137"/>
      <c r="AC21" s="137"/>
      <c r="AD21" s="137"/>
      <c r="AE21" s="2"/>
      <c r="AF21" s="137"/>
      <c r="AG21" s="137"/>
      <c r="AH21" s="137"/>
      <c r="AI21" s="137"/>
      <c r="AJ21" s="2"/>
      <c r="AK21" s="137"/>
      <c r="AL21" s="137"/>
      <c r="AM21" s="137"/>
      <c r="AN21" s="137"/>
      <c r="AO21" s="2"/>
      <c r="AP21" s="2"/>
      <c r="AQ21" s="2"/>
      <c r="AR21" s="2"/>
      <c r="AS21" s="2"/>
      <c r="AT21" s="2"/>
      <c r="AU21" s="2"/>
      <c r="AV21" s="2"/>
      <c r="AW21" s="2"/>
      <c r="AX21" s="2"/>
    </row>
    <row r="22" ht="18.5" spans="1:50">
      <c r="A22" s="2"/>
      <c r="B22" s="2" t="s">
        <v>130</v>
      </c>
      <c r="C22" s="2"/>
      <c r="D22" s="95">
        <f>MOD!F71</f>
        <v>91.0849999999999</v>
      </c>
      <c r="E22" s="95">
        <f>MOD!G71</f>
        <v>166.509</v>
      </c>
      <c r="F22" s="95">
        <f>MOD!H71</f>
        <v>126.456</v>
      </c>
      <c r="G22" s="95">
        <f>MOD!I71</f>
        <v>141.534</v>
      </c>
      <c r="H22" s="95">
        <f>MOD!J71</f>
        <v>183.324</v>
      </c>
      <c r="I22" s="95">
        <f>MOD!K71</f>
        <v>185.019</v>
      </c>
      <c r="J22" s="95">
        <f>MOD!O71</f>
        <v>274.016</v>
      </c>
      <c r="K22" s="95">
        <f>MOD!S71</f>
        <v>275.2</v>
      </c>
      <c r="L22" s="95">
        <f>MOD!W71</f>
        <v>235.1</v>
      </c>
      <c r="M22" s="95">
        <f>L22*(1+M23)</f>
        <v>232.749</v>
      </c>
      <c r="N22" s="95">
        <f t="shared" ref="N22:Q22" si="27">M22*(1+N23)</f>
        <v>230.42151</v>
      </c>
      <c r="O22" s="95">
        <f t="shared" si="27"/>
        <v>228.1172949</v>
      </c>
      <c r="P22" s="95">
        <f t="shared" si="27"/>
        <v>225.836121951</v>
      </c>
      <c r="Q22" s="95">
        <f t="shared" si="27"/>
        <v>223.57776073149</v>
      </c>
      <c r="R22" s="2"/>
      <c r="V22" s="2" t="s">
        <v>453</v>
      </c>
      <c r="W22" s="126">
        <v>0.3</v>
      </c>
      <c r="X22" s="126">
        <v>0.5</v>
      </c>
      <c r="Y22" s="126">
        <v>0.2</v>
      </c>
      <c r="Z22" s="2"/>
      <c r="AA22" s="137"/>
      <c r="AB22" s="137"/>
      <c r="AC22" s="137"/>
      <c r="AD22" s="137"/>
      <c r="AE22" s="2"/>
      <c r="AF22" s="137"/>
      <c r="AG22" s="137"/>
      <c r="AH22" s="137"/>
      <c r="AI22" s="137"/>
      <c r="AJ22" s="2"/>
      <c r="AK22" s="137"/>
      <c r="AL22" s="137"/>
      <c r="AM22" s="137"/>
      <c r="AN22" s="137"/>
      <c r="AO22" s="2"/>
      <c r="AP22" s="2"/>
      <c r="AQ22" s="2"/>
      <c r="AR22" s="2"/>
      <c r="AS22" s="2"/>
      <c r="AT22" s="2"/>
      <c r="AU22" s="2"/>
      <c r="AV22" s="2"/>
      <c r="AW22" s="2"/>
      <c r="AX22" s="2"/>
    </row>
    <row r="23" ht="18.5" spans="1:50">
      <c r="A23" s="2"/>
      <c r="B23" s="2" t="s">
        <v>437</v>
      </c>
      <c r="C23" s="2"/>
      <c r="D23" s="110"/>
      <c r="E23" s="16">
        <f>E22/D22-1</f>
        <v>0.828061700609322</v>
      </c>
      <c r="F23" s="16">
        <f t="shared" ref="F23:L23" si="28">F22/E22-1</f>
        <v>-0.240545556096067</v>
      </c>
      <c r="G23" s="16">
        <f t="shared" si="28"/>
        <v>0.119235148984628</v>
      </c>
      <c r="H23" s="16">
        <f t="shared" si="28"/>
        <v>0.295264742040783</v>
      </c>
      <c r="I23" s="16">
        <f t="shared" si="28"/>
        <v>0.00924592524710444</v>
      </c>
      <c r="J23" s="16">
        <f t="shared" si="28"/>
        <v>0.481015463276742</v>
      </c>
      <c r="K23" s="16">
        <f t="shared" si="28"/>
        <v>0.004320915566975</v>
      </c>
      <c r="L23" s="16">
        <f t="shared" si="28"/>
        <v>-0.145712209302326</v>
      </c>
      <c r="M23" s="112">
        <v>-0.01</v>
      </c>
      <c r="N23" s="112">
        <v>-0.01</v>
      </c>
      <c r="O23" s="112">
        <v>-0.01</v>
      </c>
      <c r="P23" s="112">
        <v>-0.01</v>
      </c>
      <c r="Q23" s="112">
        <v>-0.01</v>
      </c>
      <c r="R23" s="2"/>
      <c r="V23" s="127" t="s">
        <v>454</v>
      </c>
      <c r="W23" s="128"/>
      <c r="X23" s="128"/>
      <c r="Y23" s="138">
        <f>W21*W22+X21*X22+Y21*Y22</f>
        <v>1.48614019797589</v>
      </c>
      <c r="Z23" s="2"/>
      <c r="AA23" s="137"/>
      <c r="AB23" s="137"/>
      <c r="AC23" s="137"/>
      <c r="AD23" s="137"/>
      <c r="AE23" s="2"/>
      <c r="AF23" s="137"/>
      <c r="AG23" s="137"/>
      <c r="AH23" s="137"/>
      <c r="AI23" s="137"/>
      <c r="AJ23" s="2"/>
      <c r="AK23" s="137"/>
      <c r="AL23" s="137"/>
      <c r="AM23" s="137"/>
      <c r="AN23" s="137"/>
      <c r="AO23" s="2"/>
      <c r="AP23" s="2"/>
      <c r="AQ23" s="2"/>
      <c r="AR23" s="2"/>
      <c r="AS23" s="2"/>
      <c r="AT23" s="2"/>
      <c r="AU23" s="2"/>
      <c r="AV23" s="2"/>
      <c r="AW23" s="2"/>
      <c r="AX23" s="2"/>
    </row>
    <row r="24" ht="18.5" spans="1:50">
      <c r="A24" s="2"/>
      <c r="B24" s="2"/>
      <c r="C24" s="2"/>
      <c r="D24" s="2"/>
      <c r="E24" s="2"/>
      <c r="F24" s="2"/>
      <c r="G24" s="2"/>
      <c r="H24" s="2"/>
      <c r="I24" s="2"/>
      <c r="J24" s="2"/>
      <c r="K24" s="2"/>
      <c r="L24" s="2"/>
      <c r="M24" s="2"/>
      <c r="N24" s="2"/>
      <c r="O24" s="2"/>
      <c r="P24" s="2"/>
      <c r="Q24" s="2"/>
      <c r="R24" s="2"/>
      <c r="V24" s="2" t="s">
        <v>89</v>
      </c>
      <c r="X24" s="16"/>
      <c r="Y24" s="16">
        <f>$Y$23/$T$9</f>
        <v>2.18550029114101</v>
      </c>
      <c r="Z24" s="2"/>
      <c r="AA24" s="2"/>
      <c r="AB24" s="2"/>
      <c r="AC24" s="2"/>
      <c r="AD24" s="2"/>
      <c r="AE24" s="2"/>
      <c r="AF24" s="2"/>
      <c r="AG24" s="2"/>
      <c r="AH24" s="2"/>
      <c r="AI24" s="2"/>
      <c r="AJ24" s="2"/>
      <c r="AK24" s="2"/>
      <c r="AL24" s="2"/>
      <c r="AM24" s="2"/>
      <c r="AN24" s="2"/>
      <c r="AO24" s="2"/>
      <c r="AP24" s="2"/>
      <c r="AQ24" s="2"/>
      <c r="AR24" s="2"/>
      <c r="AS24" s="2"/>
      <c r="AT24" s="2"/>
      <c r="AU24" s="2"/>
      <c r="AV24" s="2"/>
      <c r="AW24" s="2"/>
      <c r="AX24" s="2"/>
    </row>
    <row r="25" ht="18.5" spans="1:50">
      <c r="A25" s="2"/>
      <c r="B25" s="8" t="s">
        <v>139</v>
      </c>
      <c r="C25" s="2"/>
      <c r="D25" s="96">
        <f t="shared" ref="D25:M25" si="29">D16+D19+D22</f>
        <v>1821.7</v>
      </c>
      <c r="E25" s="96">
        <f t="shared" si="29"/>
        <v>2378.7</v>
      </c>
      <c r="F25" s="96">
        <f t="shared" si="29"/>
        <v>3161.4</v>
      </c>
      <c r="G25" s="96">
        <f t="shared" si="29"/>
        <v>4717.8</v>
      </c>
      <c r="H25" s="96">
        <f t="shared" si="29"/>
        <v>6110.8</v>
      </c>
      <c r="I25" s="96">
        <f t="shared" si="29"/>
        <v>6167.3</v>
      </c>
      <c r="J25" s="96">
        <f t="shared" si="29"/>
        <v>8563</v>
      </c>
      <c r="K25" s="96">
        <f t="shared" si="29"/>
        <v>10125</v>
      </c>
      <c r="L25" s="96">
        <f t="shared" si="29"/>
        <v>10542</v>
      </c>
      <c r="M25" s="96">
        <f t="shared" si="29"/>
        <v>11830.4522</v>
      </c>
      <c r="N25" s="96">
        <f t="shared" ref="N25:Q25" si="30">N16+N19+N22</f>
        <v>12721.0452755</v>
      </c>
      <c r="O25" s="96">
        <f t="shared" si="30"/>
        <v>13282.548695914</v>
      </c>
      <c r="P25" s="96">
        <f t="shared" si="30"/>
        <v>13884.3171840358</v>
      </c>
      <c r="Q25" s="96">
        <f t="shared" si="30"/>
        <v>14528.624064584</v>
      </c>
      <c r="R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row>
    <row r="26" ht="18.5" spans="1:50">
      <c r="A26" s="2"/>
      <c r="B26" s="2" t="s">
        <v>437</v>
      </c>
      <c r="C26" s="2"/>
      <c r="D26" s="96"/>
      <c r="E26" s="16">
        <f>E25/D25-1</f>
        <v>0.305758357578086</v>
      </c>
      <c r="F26" s="16">
        <f t="shared" ref="F26:L26" si="31">F25/E25-1</f>
        <v>0.329045276831883</v>
      </c>
      <c r="G26" s="16">
        <f t="shared" si="31"/>
        <v>0.492313531979503</v>
      </c>
      <c r="H26" s="16">
        <f t="shared" si="31"/>
        <v>0.295264742040782</v>
      </c>
      <c r="I26" s="16">
        <f t="shared" si="31"/>
        <v>0.00924592524710355</v>
      </c>
      <c r="J26" s="16">
        <f t="shared" si="31"/>
        <v>0.388451996821948</v>
      </c>
      <c r="K26" s="16">
        <f t="shared" si="31"/>
        <v>0.182412705827397</v>
      </c>
      <c r="L26" s="16">
        <f t="shared" si="31"/>
        <v>0.0411851851851854</v>
      </c>
      <c r="M26" s="112">
        <f t="shared" ref="M26" si="32">M25/L25-1</f>
        <v>0.122220849933599</v>
      </c>
      <c r="N26" s="112">
        <f t="shared" ref="N26" si="33">N25/M25-1</f>
        <v>0.0752797154702167</v>
      </c>
      <c r="O26" s="112">
        <f t="shared" ref="O26" si="34">O25/N25-1</f>
        <v>0.0441397234467338</v>
      </c>
      <c r="P26" s="112">
        <f t="shared" ref="P26" si="35">P25/O25-1</f>
        <v>0.0453051972101572</v>
      </c>
      <c r="Q26" s="112">
        <f t="shared" ref="Q26" si="36">Q25/P25-1</f>
        <v>0.0464053703187477</v>
      </c>
      <c r="R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row>
    <row r="27" ht="18.5" spans="1:50">
      <c r="A27" s="2"/>
      <c r="B27" s="11" t="s">
        <v>440</v>
      </c>
      <c r="C27" s="2"/>
      <c r="D27" s="2"/>
      <c r="E27" s="2"/>
      <c r="F27" s="2"/>
      <c r="G27" s="2"/>
      <c r="H27" s="2"/>
      <c r="I27" s="2"/>
      <c r="J27" s="2"/>
      <c r="K27" s="2"/>
      <c r="L27" s="2"/>
      <c r="M27" s="115">
        <v>11374.8</v>
      </c>
      <c r="N27" s="115">
        <v>12806.1</v>
      </c>
      <c r="O27" s="115">
        <v>13612.9</v>
      </c>
      <c r="P27" s="115">
        <f>O27*(1+P28)</f>
        <v>14470.5127</v>
      </c>
      <c r="Q27" s="115">
        <f>P27*(1+Q28)</f>
        <v>15382.1550001</v>
      </c>
      <c r="R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row>
    <row r="28" ht="18.5" spans="1:50">
      <c r="A28" s="2"/>
      <c r="B28" s="11"/>
      <c r="C28" s="2"/>
      <c r="D28" s="2"/>
      <c r="E28" s="2"/>
      <c r="F28" s="2"/>
      <c r="G28" s="2"/>
      <c r="H28" s="2"/>
      <c r="I28" s="2"/>
      <c r="J28" s="2"/>
      <c r="K28" s="2"/>
      <c r="L28" s="2"/>
      <c r="M28" s="116">
        <f>M27/L25-1</f>
        <v>0.0789982925441091</v>
      </c>
      <c r="N28" s="116">
        <f>N27/M27-1</f>
        <v>0.125830783837958</v>
      </c>
      <c r="O28" s="116">
        <f>O27/N27-1</f>
        <v>0.0630012259782446</v>
      </c>
      <c r="P28" s="116">
        <v>0.063</v>
      </c>
      <c r="Q28" s="116">
        <v>0.063</v>
      </c>
      <c r="R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row>
    <row r="29" ht="18.5" spans="1:50">
      <c r="A29" s="2"/>
      <c r="B29" s="11"/>
      <c r="C29" s="2"/>
      <c r="D29" s="2"/>
      <c r="E29" s="2"/>
      <c r="F29" s="2"/>
      <c r="G29" s="2"/>
      <c r="H29" s="2"/>
      <c r="I29" s="2"/>
      <c r="J29" s="2"/>
      <c r="K29" s="2"/>
      <c r="L29" s="2"/>
      <c r="M29" s="2"/>
      <c r="N29" s="2"/>
      <c r="O29" s="2"/>
      <c r="P29" s="2"/>
      <c r="Q29" s="2"/>
      <c r="R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row>
    <row r="30" ht="18.5" spans="1:50">
      <c r="A30" s="2"/>
      <c r="B30" s="2" t="s">
        <v>160</v>
      </c>
      <c r="C30" s="2"/>
      <c r="D30" s="110">
        <f>MOD!F179</f>
        <v>-937.431</v>
      </c>
      <c r="E30" s="110">
        <f>MOD!G179</f>
        <v>-1215.1</v>
      </c>
      <c r="F30" s="110">
        <f>MOD!H179</f>
        <v>-1629.8</v>
      </c>
      <c r="G30" s="110">
        <f>MOD!I179</f>
        <v>-2474.5</v>
      </c>
      <c r="H30" s="110">
        <f>MOD!J179</f>
        <v>-3236</v>
      </c>
      <c r="I30" s="110">
        <f>MOD!K179</f>
        <v>-3205.7</v>
      </c>
      <c r="J30" s="110">
        <f>MOD!O179</f>
        <v>-4355</v>
      </c>
      <c r="K30" s="110">
        <f>MOD!S179</f>
        <v>-5247.4</v>
      </c>
      <c r="L30" s="110">
        <f>MOD!W179</f>
        <v>-5494</v>
      </c>
      <c r="M30" s="117">
        <f>-M31*M25</f>
        <v>-6270.139666</v>
      </c>
      <c r="N30" s="117">
        <f t="shared" ref="N30:Q30" si="37">-N31*N25</f>
        <v>-6742.153996015</v>
      </c>
      <c r="O30" s="117">
        <f t="shared" si="37"/>
        <v>-7039.75080883439</v>
      </c>
      <c r="P30" s="117">
        <f t="shared" si="37"/>
        <v>-7358.688107539</v>
      </c>
      <c r="Q30" s="117">
        <f t="shared" si="37"/>
        <v>-7700.17075422951</v>
      </c>
      <c r="R30" s="2"/>
      <c r="S30" s="2"/>
      <c r="T30" s="2"/>
      <c r="U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row>
    <row r="31" ht="18.5" spans="1:50">
      <c r="A31" s="2"/>
      <c r="B31" s="2" t="s">
        <v>387</v>
      </c>
      <c r="C31" s="2"/>
      <c r="D31" s="16">
        <f>-D30/D25</f>
        <v>0.514591315803919</v>
      </c>
      <c r="E31" s="16">
        <f>-E30/E25</f>
        <v>0.510825240677681</v>
      </c>
      <c r="F31" s="16">
        <f t="shared" ref="F31:L31" si="38">-F30/F25</f>
        <v>0.515531093819194</v>
      </c>
      <c r="G31" s="16">
        <f t="shared" si="38"/>
        <v>0.524502946288524</v>
      </c>
      <c r="H31" s="16">
        <f t="shared" si="38"/>
        <v>0.529554231851803</v>
      </c>
      <c r="I31" s="16">
        <f t="shared" si="38"/>
        <v>0.519789859419843</v>
      </c>
      <c r="J31" s="16">
        <f t="shared" si="38"/>
        <v>0.508583440383043</v>
      </c>
      <c r="K31" s="16">
        <f t="shared" si="38"/>
        <v>0.518261728395062</v>
      </c>
      <c r="L31" s="16">
        <f t="shared" si="38"/>
        <v>0.521153481312844</v>
      </c>
      <c r="M31" s="112">
        <v>0.53</v>
      </c>
      <c r="N31" s="112">
        <v>0.53</v>
      </c>
      <c r="O31" s="112">
        <v>0.53</v>
      </c>
      <c r="P31" s="112">
        <v>0.53</v>
      </c>
      <c r="Q31" s="112">
        <v>0.53</v>
      </c>
      <c r="R31" s="2"/>
      <c r="S31" s="2"/>
      <c r="T31" s="2"/>
      <c r="U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row>
    <row r="32" ht="26" spans="1:50">
      <c r="A32" s="2"/>
      <c r="B32" s="2" t="s">
        <v>437</v>
      </c>
      <c r="C32" s="2"/>
      <c r="D32" s="39"/>
      <c r="E32" s="16">
        <f>E30/D30-1</f>
        <v>0.296202067138808</v>
      </c>
      <c r="F32" s="16">
        <f t="shared" ref="F32:M32" si="39">F30/E30-1</f>
        <v>0.341288782816229</v>
      </c>
      <c r="G32" s="16">
        <f t="shared" si="39"/>
        <v>0.51828445208001</v>
      </c>
      <c r="H32" s="16">
        <f t="shared" si="39"/>
        <v>0.307738937159022</v>
      </c>
      <c r="I32" s="16">
        <f t="shared" si="39"/>
        <v>-0.00936341161928311</v>
      </c>
      <c r="J32" s="16">
        <f t="shared" si="39"/>
        <v>0.358517640452943</v>
      </c>
      <c r="K32" s="16">
        <f t="shared" si="39"/>
        <v>0.204913892078071</v>
      </c>
      <c r="L32" s="16">
        <f t="shared" si="39"/>
        <v>0.0469947021382018</v>
      </c>
      <c r="M32" s="16">
        <f t="shared" si="39"/>
        <v>0.14127041609028</v>
      </c>
      <c r="N32" s="16">
        <f t="shared" ref="N32:Q32" si="40">N30/M30-1</f>
        <v>0.0752797154702167</v>
      </c>
      <c r="O32" s="16">
        <f t="shared" si="40"/>
        <v>0.0441397234467338</v>
      </c>
      <c r="P32" s="16">
        <f t="shared" si="40"/>
        <v>0.0453051972101575</v>
      </c>
      <c r="Q32" s="16">
        <f t="shared" si="40"/>
        <v>0.0464053703187475</v>
      </c>
      <c r="R32" s="2"/>
      <c r="U32" s="129"/>
      <c r="Z32" s="2"/>
      <c r="AA32" s="2"/>
      <c r="AB32" s="2"/>
      <c r="AC32" s="2"/>
      <c r="AD32" s="2"/>
      <c r="AE32" s="2"/>
      <c r="AF32" s="2"/>
      <c r="AG32" s="2"/>
      <c r="AH32" s="2"/>
      <c r="AI32" s="2"/>
      <c r="AJ32" s="2"/>
      <c r="AK32" s="2"/>
      <c r="AL32" s="2"/>
      <c r="AM32" s="2"/>
      <c r="AN32" s="2"/>
      <c r="AO32" s="2"/>
      <c r="AP32" s="2"/>
      <c r="AQ32" s="2"/>
      <c r="AR32" s="2"/>
      <c r="AS32" s="2"/>
      <c r="AT32" s="2"/>
      <c r="AU32" s="2"/>
      <c r="AV32" s="2"/>
      <c r="AW32" s="2"/>
      <c r="AX32" s="2"/>
    </row>
    <row r="33" ht="18.5" spans="1:50">
      <c r="A33" s="2"/>
      <c r="B33" s="2" t="s">
        <v>126</v>
      </c>
      <c r="C33" s="2"/>
      <c r="D33" s="2"/>
      <c r="E33" s="2"/>
      <c r="F33" s="110">
        <f>(F32-E32)*10000</f>
        <v>450.867156774213</v>
      </c>
      <c r="G33" s="110">
        <f t="shared" ref="G33:L33" si="41">(G32-F32)*10000</f>
        <v>1769.95669263781</v>
      </c>
      <c r="H33" s="110">
        <f t="shared" si="41"/>
        <v>-2105.45514920988</v>
      </c>
      <c r="I33" s="110">
        <f t="shared" si="41"/>
        <v>-3171.02348778305</v>
      </c>
      <c r="J33" s="110">
        <f t="shared" si="41"/>
        <v>3678.81052072226</v>
      </c>
      <c r="K33" s="110">
        <f t="shared" si="41"/>
        <v>-1536.03748374872</v>
      </c>
      <c r="L33" s="110">
        <f t="shared" si="41"/>
        <v>-1579.19189939869</v>
      </c>
      <c r="M33" s="110">
        <f t="shared" ref="M33" si="42">(M32-L32)*10000</f>
        <v>942.757139520787</v>
      </c>
      <c r="N33" s="110">
        <f t="shared" ref="N33" si="43">(N32-M32)*10000</f>
        <v>-659.907006200637</v>
      </c>
      <c r="O33" s="110">
        <f t="shared" ref="O33" si="44">(O32-N32)*10000</f>
        <v>-311.399920234829</v>
      </c>
      <c r="P33" s="110">
        <f t="shared" ref="P33" si="45">(P32-O32)*10000</f>
        <v>11.6547376342369</v>
      </c>
      <c r="Q33" s="110">
        <f t="shared" ref="Q33" si="46">(Q32-P32)*10000</f>
        <v>11.0017310859001</v>
      </c>
      <c r="R33" s="2"/>
      <c r="U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row>
    <row r="34" ht="18.5" spans="1:50">
      <c r="A34" s="2"/>
      <c r="B34" s="2" t="s">
        <v>455</v>
      </c>
      <c r="C34" s="2"/>
      <c r="D34" s="2"/>
      <c r="E34" s="2"/>
      <c r="F34" s="2"/>
      <c r="G34" s="2"/>
      <c r="H34" s="2"/>
      <c r="I34" s="2"/>
      <c r="J34" s="2"/>
      <c r="K34" s="2"/>
      <c r="L34" s="2"/>
      <c r="M34" s="2"/>
      <c r="N34" s="2"/>
      <c r="O34" s="2"/>
      <c r="P34" s="2"/>
      <c r="Q34" s="2"/>
      <c r="R34" s="2"/>
      <c r="U34" s="2"/>
      <c r="V34" s="2"/>
      <c r="W34" s="2"/>
      <c r="X34" s="2"/>
      <c r="Y34" s="2"/>
      <c r="Z34" s="2"/>
      <c r="AO34" s="2"/>
      <c r="AP34" s="2"/>
      <c r="AQ34" s="2"/>
      <c r="AR34" s="2"/>
      <c r="AS34" s="2"/>
      <c r="AT34" s="2"/>
      <c r="AU34" s="2"/>
      <c r="AV34" s="2"/>
      <c r="AW34" s="2"/>
      <c r="AX34" s="2"/>
    </row>
    <row r="35" ht="18.5" spans="1:50">
      <c r="A35" s="2"/>
      <c r="M35" s="2"/>
      <c r="N35" s="2"/>
      <c r="O35" s="2"/>
      <c r="P35" s="2"/>
      <c r="Q35" s="2"/>
      <c r="R35" s="2"/>
      <c r="S35" s="2"/>
      <c r="T35" s="2"/>
      <c r="U35" s="2"/>
      <c r="V35" s="2"/>
      <c r="W35" s="2"/>
      <c r="X35" s="2"/>
      <c r="Y35" s="2"/>
      <c r="Z35" s="2"/>
      <c r="AO35" s="2"/>
      <c r="AP35" s="2"/>
      <c r="AQ35" s="2"/>
      <c r="AR35" s="2"/>
      <c r="AS35" s="2"/>
      <c r="AT35" s="2"/>
      <c r="AU35" s="2"/>
      <c r="AV35" s="2"/>
      <c r="AW35" s="2"/>
      <c r="AX35" s="2"/>
    </row>
    <row r="36" ht="18.5" spans="1:50">
      <c r="A36" s="2"/>
      <c r="B36" s="8" t="s">
        <v>176</v>
      </c>
      <c r="C36" s="2"/>
      <c r="D36" s="96">
        <f t="shared" ref="D36:Q36" si="47">D25+D30</f>
        <v>884.269</v>
      </c>
      <c r="E36" s="96">
        <f t="shared" si="47"/>
        <v>1163.6</v>
      </c>
      <c r="F36" s="96">
        <f t="shared" si="47"/>
        <v>1531.6</v>
      </c>
      <c r="G36" s="96">
        <f t="shared" si="47"/>
        <v>2243.3</v>
      </c>
      <c r="H36" s="96">
        <f t="shared" si="47"/>
        <v>2874.8</v>
      </c>
      <c r="I36" s="96">
        <f t="shared" si="47"/>
        <v>2961.6</v>
      </c>
      <c r="J36" s="96">
        <f t="shared" si="47"/>
        <v>4208</v>
      </c>
      <c r="K36" s="96">
        <f t="shared" si="47"/>
        <v>4877.6</v>
      </c>
      <c r="L36" s="96">
        <f t="shared" si="47"/>
        <v>5048</v>
      </c>
      <c r="M36" s="96">
        <f t="shared" si="47"/>
        <v>5560.312534</v>
      </c>
      <c r="N36" s="96">
        <f t="shared" si="47"/>
        <v>5978.891279485</v>
      </c>
      <c r="O36" s="96">
        <f t="shared" si="47"/>
        <v>6242.79788707956</v>
      </c>
      <c r="P36" s="96">
        <f t="shared" si="47"/>
        <v>6525.62907649685</v>
      </c>
      <c r="Q36" s="96">
        <f t="shared" si="47"/>
        <v>6828.45331035447</v>
      </c>
      <c r="R36" s="2"/>
      <c r="S36" s="2"/>
      <c r="T36" s="2"/>
      <c r="U36" s="2"/>
      <c r="V36" s="2"/>
      <c r="W36" s="2"/>
      <c r="X36" s="2"/>
      <c r="Y36" s="2"/>
      <c r="Z36" s="2"/>
      <c r="AO36" s="2"/>
      <c r="AP36" s="2"/>
      <c r="AQ36" s="2"/>
      <c r="AR36" s="2"/>
      <c r="AS36" s="2"/>
      <c r="AT36" s="2"/>
      <c r="AU36" s="2"/>
      <c r="AV36" s="2"/>
      <c r="AW36" s="2"/>
      <c r="AX36" s="2"/>
    </row>
    <row r="37" ht="26" spans="1:50">
      <c r="A37" s="2"/>
      <c r="B37" s="2" t="s">
        <v>40</v>
      </c>
      <c r="C37" s="2"/>
      <c r="D37" s="16">
        <f t="shared" ref="D37:L37" si="48">D36/D25</f>
        <v>0.485408684196081</v>
      </c>
      <c r="E37" s="16">
        <f t="shared" si="48"/>
        <v>0.489174759322319</v>
      </c>
      <c r="F37" s="16">
        <f t="shared" si="48"/>
        <v>0.484468906180806</v>
      </c>
      <c r="G37" s="16">
        <f t="shared" si="48"/>
        <v>0.475497053711476</v>
      </c>
      <c r="H37" s="16">
        <f t="shared" si="48"/>
        <v>0.470445768148197</v>
      </c>
      <c r="I37" s="16">
        <f t="shared" si="48"/>
        <v>0.480210140580157</v>
      </c>
      <c r="J37" s="16">
        <f t="shared" si="48"/>
        <v>0.491416559616957</v>
      </c>
      <c r="K37" s="16">
        <f t="shared" si="48"/>
        <v>0.481738271604938</v>
      </c>
      <c r="L37" s="16">
        <f t="shared" si="48"/>
        <v>0.478846518687156</v>
      </c>
      <c r="M37" s="16">
        <f t="shared" ref="M37" si="49">M36/M25</f>
        <v>0.47</v>
      </c>
      <c r="N37" s="16">
        <f t="shared" ref="N37" si="50">N36/N25</f>
        <v>0.47</v>
      </c>
      <c r="O37" s="16">
        <f t="shared" ref="O37" si="51">O36/O25</f>
        <v>0.47</v>
      </c>
      <c r="P37" s="16">
        <f t="shared" ref="P37" si="52">P36/P25</f>
        <v>0.47</v>
      </c>
      <c r="Q37" s="16">
        <f t="shared" ref="Q37" si="53">Q36/Q25</f>
        <v>0.47</v>
      </c>
      <c r="R37" s="2"/>
      <c r="S37" s="130"/>
      <c r="T37" s="129"/>
      <c r="U37" s="129"/>
      <c r="V37" s="129"/>
      <c r="W37" s="2"/>
      <c r="X37" s="2"/>
      <c r="Y37" s="2"/>
      <c r="Z37" s="2"/>
      <c r="AO37" s="2"/>
      <c r="AP37" s="2"/>
      <c r="AQ37" s="2"/>
      <c r="AR37" s="2"/>
      <c r="AS37" s="2"/>
      <c r="AT37" s="2"/>
      <c r="AU37" s="2"/>
      <c r="AV37" s="2"/>
      <c r="AW37" s="2"/>
      <c r="AX37" s="2"/>
    </row>
    <row r="38" ht="18.5" spans="1:50">
      <c r="A38" s="2"/>
      <c r="B38" s="2" t="s">
        <v>18</v>
      </c>
      <c r="C38" s="2"/>
      <c r="D38" s="39"/>
      <c r="E38" s="16">
        <f>E36/D36-1</f>
        <v>0.315889169472185</v>
      </c>
      <c r="F38" s="16">
        <f t="shared" ref="F38:L38" si="54">F36/E36-1</f>
        <v>0.316259883121348</v>
      </c>
      <c r="G38" s="16">
        <f t="shared" si="54"/>
        <v>0.464677461478193</v>
      </c>
      <c r="H38" s="16">
        <f t="shared" si="54"/>
        <v>0.281504925778986</v>
      </c>
      <c r="I38" s="16">
        <f t="shared" si="54"/>
        <v>0.0301934047585919</v>
      </c>
      <c r="J38" s="16">
        <f t="shared" si="54"/>
        <v>0.42085359265262</v>
      </c>
      <c r="K38" s="16">
        <f t="shared" si="54"/>
        <v>0.159125475285171</v>
      </c>
      <c r="L38" s="16">
        <f t="shared" si="54"/>
        <v>0.0349352140396919</v>
      </c>
      <c r="M38" s="16">
        <f t="shared" ref="M38" si="55">M36/L36-1</f>
        <v>0.101488219889065</v>
      </c>
      <c r="N38" s="16">
        <f t="shared" ref="N38" si="56">N36/M36-1</f>
        <v>0.0752797154702167</v>
      </c>
      <c r="O38" s="16">
        <f t="shared" ref="O38" si="57">O36/N36-1</f>
        <v>0.0441397234467338</v>
      </c>
      <c r="P38" s="16">
        <f t="shared" ref="P38" si="58">P36/O36-1</f>
        <v>0.0453051972101572</v>
      </c>
      <c r="Q38" s="16">
        <f t="shared" ref="Q38" si="59">Q36/P36-1</f>
        <v>0.0464053703187477</v>
      </c>
      <c r="R38" s="2"/>
      <c r="W38" s="2"/>
      <c r="X38" s="2"/>
      <c r="Y38" s="2"/>
      <c r="Z38" s="2"/>
      <c r="AO38" s="2"/>
      <c r="AP38" s="2"/>
      <c r="AQ38" s="2"/>
      <c r="AR38" s="2"/>
      <c r="AS38" s="2"/>
      <c r="AT38" s="2"/>
      <c r="AU38" s="2"/>
      <c r="AV38" s="2"/>
      <c r="AW38" s="2"/>
      <c r="AX38" s="2"/>
    </row>
    <row r="39" ht="18.5" spans="1:50">
      <c r="A39" s="2"/>
      <c r="B39" s="2" t="s">
        <v>126</v>
      </c>
      <c r="C39" s="2"/>
      <c r="D39" s="2"/>
      <c r="E39" s="2"/>
      <c r="F39" s="110">
        <f>(F38-E38)*10000</f>
        <v>3.70713649162191</v>
      </c>
      <c r="G39" s="110">
        <f t="shared" ref="G39" si="60">(G38-F38)*10000</f>
        <v>1484.17578356845</v>
      </c>
      <c r="H39" s="110">
        <f t="shared" ref="H39" si="61">(H38-G38)*10000</f>
        <v>-1831.72535699206</v>
      </c>
      <c r="I39" s="110">
        <f t="shared" ref="I39" si="62">(I38-H38)*10000</f>
        <v>-2513.11521020394</v>
      </c>
      <c r="J39" s="110">
        <f t="shared" ref="J39" si="63">(J38-I38)*10000</f>
        <v>3906.60187894028</v>
      </c>
      <c r="K39" s="110">
        <f t="shared" ref="K39" si="64">(K38-J38)*10000</f>
        <v>-2617.28117367449</v>
      </c>
      <c r="L39" s="110">
        <f t="shared" ref="L39" si="65">(L38-K38)*10000</f>
        <v>-1241.90261245479</v>
      </c>
      <c r="M39" s="110">
        <f t="shared" ref="M39" si="66">(M38-L38)*10000</f>
        <v>665.530058493728</v>
      </c>
      <c r="N39" s="110">
        <f t="shared" ref="N39" si="67">(N38-M38)*10000</f>
        <v>-262.08504418848</v>
      </c>
      <c r="O39" s="110">
        <f t="shared" ref="O39" si="68">(O38-N38)*10000</f>
        <v>-311.399920234829</v>
      </c>
      <c r="P39" s="110">
        <f t="shared" ref="P39" si="69">(P38-O38)*10000</f>
        <v>11.6547376342346</v>
      </c>
      <c r="Q39" s="110">
        <f t="shared" ref="Q39" si="70">(Q38-P38)*10000</f>
        <v>11.0017310859045</v>
      </c>
      <c r="R39" s="2"/>
      <c r="S39" s="2"/>
      <c r="T39" s="2"/>
      <c r="U39" s="2"/>
      <c r="V39" s="2"/>
      <c r="W39" s="2"/>
      <c r="X39" s="2"/>
      <c r="Y39" s="2"/>
      <c r="Z39" s="2"/>
      <c r="AO39" s="2"/>
      <c r="AP39" s="2"/>
      <c r="AQ39" s="2"/>
      <c r="AR39" s="2"/>
      <c r="AS39" s="2"/>
      <c r="AT39" s="2"/>
      <c r="AU39" s="2"/>
      <c r="AV39" s="2"/>
      <c r="AW39" s="2"/>
      <c r="AX39" s="2"/>
    </row>
    <row r="40" ht="18.5" spans="1:50">
      <c r="A40" s="2"/>
      <c r="B40" s="8" t="s">
        <v>438</v>
      </c>
      <c r="C40" s="2"/>
      <c r="D40" s="96"/>
      <c r="E40" s="96"/>
      <c r="F40" s="98">
        <f t="shared" ref="F40:Q40" si="71">F36/F10</f>
        <v>1.03907734056988</v>
      </c>
      <c r="G40" s="98">
        <f t="shared" si="71"/>
        <v>0.92698347107438</v>
      </c>
      <c r="H40" s="98">
        <f t="shared" si="71"/>
        <v>1.17434640522876</v>
      </c>
      <c r="I40" s="98">
        <f t="shared" si="71"/>
        <v>1.12352048558422</v>
      </c>
      <c r="J40" s="98">
        <f t="shared" si="71"/>
        <v>1.23691945914168</v>
      </c>
      <c r="K40" s="98">
        <f t="shared" si="71"/>
        <v>1.43882005899705</v>
      </c>
      <c r="L40" s="98">
        <f t="shared" si="71"/>
        <v>1.52185709978897</v>
      </c>
      <c r="M40" s="98">
        <f t="shared" si="71"/>
        <v>1.56664268016083</v>
      </c>
      <c r="N40" s="98">
        <f t="shared" si="71"/>
        <v>1.6043610432065</v>
      </c>
      <c r="O40" s="98">
        <f t="shared" si="71"/>
        <v>1.62638553006054</v>
      </c>
      <c r="P40" s="98">
        <f t="shared" si="71"/>
        <v>1.65055266722299</v>
      </c>
      <c r="Q40" s="98">
        <f t="shared" si="71"/>
        <v>1.67684191745249</v>
      </c>
      <c r="R40" s="2"/>
      <c r="S40" s="2"/>
      <c r="T40" s="2"/>
      <c r="U40" s="2"/>
      <c r="V40" s="2"/>
      <c r="W40" s="2"/>
      <c r="X40" s="2"/>
      <c r="Y40" s="2"/>
      <c r="Z40" s="2"/>
      <c r="AO40" s="2"/>
      <c r="AP40" s="2"/>
      <c r="AQ40" s="2"/>
      <c r="AR40" s="2"/>
      <c r="AS40" s="2"/>
      <c r="AT40" s="2"/>
      <c r="AU40" s="2"/>
      <c r="AV40" s="2"/>
      <c r="AW40" s="2"/>
      <c r="AX40" s="2"/>
    </row>
    <row r="41" ht="18.5" spans="1:50">
      <c r="A41" s="2"/>
      <c r="B41" s="2"/>
      <c r="C41" s="2"/>
      <c r="D41" s="2"/>
      <c r="E41" s="2"/>
      <c r="F41" s="2"/>
      <c r="G41" s="2"/>
      <c r="H41" s="2"/>
      <c r="I41" s="2"/>
      <c r="J41" s="2"/>
      <c r="K41" s="2"/>
      <c r="L41" s="2"/>
      <c r="M41" s="2"/>
      <c r="N41" s="2"/>
      <c r="O41" s="2"/>
      <c r="P41" s="2"/>
      <c r="Q41" s="2"/>
      <c r="R41" s="2"/>
      <c r="S41" s="2"/>
      <c r="T41" s="2"/>
      <c r="U41" s="2"/>
      <c r="V41" s="2"/>
      <c r="W41" s="2"/>
      <c r="X41" s="2"/>
      <c r="Y41" s="2"/>
      <c r="Z41" s="2"/>
      <c r="AO41" s="2"/>
      <c r="AP41" s="2"/>
      <c r="AQ41" s="2"/>
      <c r="AR41" s="2"/>
      <c r="AS41" s="2"/>
      <c r="AT41" s="2"/>
      <c r="AU41" s="2"/>
      <c r="AV41" s="2"/>
      <c r="AW41" s="2"/>
      <c r="AX41" s="2"/>
    </row>
    <row r="42" ht="18.5" spans="1:50">
      <c r="A42" s="2"/>
      <c r="B42" s="2" t="s">
        <v>178</v>
      </c>
      <c r="C42" s="2"/>
      <c r="D42" s="39">
        <f>MOD!F193</f>
        <v>-752.057</v>
      </c>
      <c r="E42" s="39">
        <f>MOD!G193</f>
        <v>-925.6</v>
      </c>
      <c r="F42" s="39">
        <f>MOD!H193</f>
        <v>-1238.1</v>
      </c>
      <c r="G42" s="39">
        <f>MOD!I193</f>
        <v>-1901.8</v>
      </c>
      <c r="H42" s="39">
        <f>MOD!J193</f>
        <v>-2459.1</v>
      </c>
      <c r="I42" s="39">
        <f>MOD!K193</f>
        <v>-2604.9</v>
      </c>
      <c r="J42" s="39">
        <f>MOD!O193</f>
        <v>-3514</v>
      </c>
      <c r="K42" s="39">
        <f>MOD!S193</f>
        <v>-4105.1</v>
      </c>
      <c r="L42" s="39">
        <f>MOD!W193</f>
        <v>-4158.9</v>
      </c>
      <c r="M42" s="117">
        <f>-M43*M25</f>
        <v>-4791.333141</v>
      </c>
      <c r="N42" s="117">
        <f t="shared" ref="N42:Q42" si="72">-N43*N25</f>
        <v>-5152.0233365775</v>
      </c>
      <c r="O42" s="117">
        <f t="shared" si="72"/>
        <v>-5379.43222184515</v>
      </c>
      <c r="P42" s="117">
        <f t="shared" si="72"/>
        <v>-5623.14845953452</v>
      </c>
      <c r="Q42" s="117">
        <f t="shared" si="72"/>
        <v>-5884.09274615651</v>
      </c>
      <c r="R42" s="2"/>
      <c r="S42" s="2"/>
      <c r="T42" s="2"/>
      <c r="U42" s="2"/>
      <c r="V42" s="2"/>
      <c r="W42" s="2"/>
      <c r="X42" s="2"/>
      <c r="Y42" s="2"/>
      <c r="Z42" s="2"/>
      <c r="AO42" s="2"/>
      <c r="AP42" s="2"/>
      <c r="AQ42" s="2"/>
      <c r="AR42" s="2"/>
      <c r="AS42" s="2"/>
      <c r="AT42" s="2"/>
      <c r="AU42" s="2"/>
      <c r="AV42" s="2"/>
      <c r="AW42" s="2"/>
      <c r="AX42" s="2"/>
    </row>
    <row r="43" ht="18.5" spans="1:50">
      <c r="A43" s="2"/>
      <c r="B43" s="2" t="s">
        <v>40</v>
      </c>
      <c r="C43" s="2"/>
      <c r="D43" s="16">
        <f t="shared" ref="D43:L43" si="73">-D42/D25</f>
        <v>0.412832519075589</v>
      </c>
      <c r="E43" s="16">
        <f t="shared" si="73"/>
        <v>0.38912010762181</v>
      </c>
      <c r="F43" s="16">
        <f t="shared" si="73"/>
        <v>0.391630290377681</v>
      </c>
      <c r="G43" s="16">
        <f t="shared" si="73"/>
        <v>0.403111619822799</v>
      </c>
      <c r="H43" s="16">
        <f t="shared" si="73"/>
        <v>0.402418668586764</v>
      </c>
      <c r="I43" s="16">
        <f t="shared" si="73"/>
        <v>0.422372837384269</v>
      </c>
      <c r="J43" s="16">
        <f t="shared" si="73"/>
        <v>0.410370197360738</v>
      </c>
      <c r="K43" s="16">
        <f t="shared" si="73"/>
        <v>0.405441975308642</v>
      </c>
      <c r="L43" s="16">
        <f t="shared" si="73"/>
        <v>0.394507683551508</v>
      </c>
      <c r="M43" s="112">
        <v>0.405</v>
      </c>
      <c r="N43" s="112">
        <v>0.405</v>
      </c>
      <c r="O43" s="112">
        <v>0.405</v>
      </c>
      <c r="P43" s="112">
        <v>0.405</v>
      </c>
      <c r="Q43" s="112">
        <v>0.405</v>
      </c>
      <c r="R43" s="2"/>
      <c r="S43" s="2"/>
      <c r="T43" s="2"/>
      <c r="U43" s="2"/>
      <c r="V43" s="2"/>
      <c r="W43" s="2"/>
      <c r="X43" s="2"/>
      <c r="Y43" s="2"/>
      <c r="Z43" s="2"/>
      <c r="AO43" s="2"/>
      <c r="AP43" s="2"/>
      <c r="AQ43" s="2"/>
      <c r="AR43" s="2"/>
      <c r="AS43" s="2"/>
      <c r="AT43" s="2"/>
      <c r="AU43" s="2"/>
      <c r="AV43" s="2"/>
      <c r="AW43" s="2"/>
      <c r="AX43" s="2"/>
    </row>
    <row r="44" ht="18.5" spans="1:50">
      <c r="A44" s="2"/>
      <c r="B44" s="2" t="s">
        <v>18</v>
      </c>
      <c r="C44" s="2"/>
      <c r="D44" s="39"/>
      <c r="E44" s="16">
        <f>E42/D42-1</f>
        <v>0.230757775009075</v>
      </c>
      <c r="F44" s="16">
        <f t="shared" ref="F44:L44" si="74">F42/E42-1</f>
        <v>0.337618841832325</v>
      </c>
      <c r="G44" s="16">
        <f t="shared" si="74"/>
        <v>0.536063322833374</v>
      </c>
      <c r="H44" s="16">
        <f t="shared" si="74"/>
        <v>0.293038174361131</v>
      </c>
      <c r="I44" s="16">
        <f t="shared" si="74"/>
        <v>0.0592899841405392</v>
      </c>
      <c r="J44" s="16">
        <f t="shared" si="74"/>
        <v>0.34899612269185</v>
      </c>
      <c r="K44" s="16">
        <f t="shared" si="74"/>
        <v>0.168212862834377</v>
      </c>
      <c r="L44" s="16">
        <f t="shared" si="74"/>
        <v>0.013105649070668</v>
      </c>
      <c r="M44" s="16">
        <f t="shared" ref="M44" si="75">M42/L42-1</f>
        <v>0.152067407487557</v>
      </c>
      <c r="N44" s="16">
        <f t="shared" ref="N44" si="76">N42/M42-1</f>
        <v>0.0752797154702165</v>
      </c>
      <c r="O44" s="16">
        <f t="shared" ref="O44" si="77">O42/N42-1</f>
        <v>0.044139723446734</v>
      </c>
      <c r="P44" s="16">
        <f t="shared" ref="P44" si="78">P42/O42-1</f>
        <v>0.0453051972101572</v>
      </c>
      <c r="Q44" s="16">
        <f t="shared" ref="Q44" si="79">Q42/P42-1</f>
        <v>0.0464053703187475</v>
      </c>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row>
    <row r="45" ht="18.5" spans="1:50">
      <c r="A45" s="2"/>
      <c r="B45" s="2" t="s">
        <v>126</v>
      </c>
      <c r="C45" s="2"/>
      <c r="D45" s="2"/>
      <c r="E45" s="2"/>
      <c r="F45" s="110">
        <f>(F44-E44)*10000</f>
        <v>1068.6106682325</v>
      </c>
      <c r="G45" s="110">
        <f t="shared" ref="G45" si="80">(G44-F44)*10000</f>
        <v>1984.44481001049</v>
      </c>
      <c r="H45" s="110">
        <f t="shared" ref="H45" si="81">(H44-G44)*10000</f>
        <v>-2430.25148472243</v>
      </c>
      <c r="I45" s="110">
        <f t="shared" ref="I45" si="82">(I44-H44)*10000</f>
        <v>-2337.48190220592</v>
      </c>
      <c r="J45" s="110">
        <f t="shared" ref="J45" si="83">(J44-I44)*10000</f>
        <v>2897.06138551311</v>
      </c>
      <c r="K45" s="110">
        <f t="shared" ref="K45" si="84">(K44-J44)*10000</f>
        <v>-1807.83259857473</v>
      </c>
      <c r="L45" s="110">
        <f t="shared" ref="L45" si="85">(L44-K44)*10000</f>
        <v>-1551.07213763709</v>
      </c>
      <c r="M45" s="110">
        <f t="shared" ref="M45" si="86">(M44-L44)*10000</f>
        <v>1389.61758416889</v>
      </c>
      <c r="N45" s="110">
        <f t="shared" ref="N45" si="87">(N44-M44)*10000</f>
        <v>-767.876920173407</v>
      </c>
      <c r="O45" s="110">
        <f t="shared" ref="O45" si="88">(O44-N44)*10000</f>
        <v>-311.399920234825</v>
      </c>
      <c r="P45" s="110">
        <f t="shared" ref="P45" si="89">(P44-O44)*10000</f>
        <v>11.6547376342324</v>
      </c>
      <c r="Q45" s="110">
        <f t="shared" ref="Q45" si="90">(Q44-P44)*10000</f>
        <v>11.0017310859023</v>
      </c>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row>
    <row r="46" ht="18.5" spans="1:50">
      <c r="A46" s="2"/>
      <c r="B46" s="2"/>
      <c r="C46" s="2"/>
      <c r="D46" s="39"/>
      <c r="E46" s="39"/>
      <c r="F46" s="39"/>
      <c r="G46" s="39"/>
      <c r="H46" s="39"/>
      <c r="I46" s="39"/>
      <c r="J46" s="39"/>
      <c r="K46" s="39"/>
      <c r="L46" s="39"/>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row>
    <row r="47" ht="18.5" spans="1:50">
      <c r="A47" s="2"/>
      <c r="B47" s="2" t="s">
        <v>130</v>
      </c>
      <c r="C47" s="2"/>
      <c r="D47" s="111">
        <f>MOD!F207+MOD!F208</f>
        <v>1.242</v>
      </c>
      <c r="E47" s="111">
        <f>MOD!G207+MOD!G208</f>
        <v>1.8</v>
      </c>
      <c r="F47" s="111">
        <f>MOD!H207+MOD!H208</f>
        <v>2.4</v>
      </c>
      <c r="G47" s="111">
        <f>MOD!I207+MOD!I208</f>
        <v>4.7</v>
      </c>
      <c r="H47" s="111">
        <f>MOD!J207+MOD!J208</f>
        <v>10.9</v>
      </c>
      <c r="I47" s="111">
        <f>MOD!K207+MOD!K208</f>
        <v>28.3</v>
      </c>
      <c r="J47" s="111">
        <f>MOD!O207+MOD!O208</f>
        <v>27.2</v>
      </c>
      <c r="K47" s="111">
        <f>MOD!S207+MOD!S208</f>
        <v>33.5</v>
      </c>
      <c r="L47" s="111">
        <f>MOD!W207+MOD!W208</f>
        <v>38.1</v>
      </c>
      <c r="M47" s="117">
        <f>L47*(1+M48)</f>
        <v>41.91</v>
      </c>
      <c r="N47" s="117">
        <f t="shared" ref="N47:Q47" si="91">M47*(1+N48)</f>
        <v>46.101</v>
      </c>
      <c r="O47" s="117">
        <f t="shared" si="91"/>
        <v>50.7111</v>
      </c>
      <c r="P47" s="117">
        <f t="shared" si="91"/>
        <v>55.78221</v>
      </c>
      <c r="Q47" s="117">
        <f t="shared" si="91"/>
        <v>61.360431</v>
      </c>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row>
    <row r="48" ht="18.5" spans="1:50">
      <c r="A48" s="2"/>
      <c r="B48" s="2" t="s">
        <v>18</v>
      </c>
      <c r="C48" s="2"/>
      <c r="D48" s="111"/>
      <c r="E48" s="16">
        <f>E47/D47-1</f>
        <v>0.449275362318841</v>
      </c>
      <c r="F48" s="16">
        <f t="shared" ref="F48:L48" si="92">F47/E47-1</f>
        <v>0.333333333333333</v>
      </c>
      <c r="G48" s="16">
        <f t="shared" si="92"/>
        <v>0.958333333333333</v>
      </c>
      <c r="H48" s="16">
        <f t="shared" si="92"/>
        <v>1.31914893617021</v>
      </c>
      <c r="I48" s="16">
        <f t="shared" si="92"/>
        <v>1.59633027522936</v>
      </c>
      <c r="J48" s="16">
        <f t="shared" si="92"/>
        <v>-0.0388692579505301</v>
      </c>
      <c r="K48" s="16">
        <f t="shared" si="92"/>
        <v>0.231617647058824</v>
      </c>
      <c r="L48" s="16">
        <f t="shared" si="92"/>
        <v>0.137313432835821</v>
      </c>
      <c r="M48" s="16">
        <v>0.1</v>
      </c>
      <c r="N48" s="16">
        <v>0.1</v>
      </c>
      <c r="O48" s="16">
        <v>0.1</v>
      </c>
      <c r="P48" s="16">
        <v>0.1</v>
      </c>
      <c r="Q48" s="16">
        <v>0.1</v>
      </c>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row>
    <row r="49" ht="18.5" spans="1:50">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row>
    <row r="50" ht="18.5" spans="1:50">
      <c r="A50" s="2"/>
      <c r="B50" s="8" t="s">
        <v>132</v>
      </c>
      <c r="C50" s="2"/>
      <c r="D50" s="96">
        <f t="shared" ref="D50:L50" si="93">D36+D42+D47</f>
        <v>133.454</v>
      </c>
      <c r="E50" s="96">
        <f t="shared" si="93"/>
        <v>239.8</v>
      </c>
      <c r="F50" s="96">
        <f t="shared" si="93"/>
        <v>295.9</v>
      </c>
      <c r="G50" s="96">
        <f t="shared" si="93"/>
        <v>346.2</v>
      </c>
      <c r="H50" s="96">
        <f t="shared" si="93"/>
        <v>426.6</v>
      </c>
      <c r="I50" s="96">
        <f t="shared" si="93"/>
        <v>385</v>
      </c>
      <c r="J50" s="96">
        <f t="shared" si="93"/>
        <v>721.2</v>
      </c>
      <c r="K50" s="96">
        <f t="shared" si="93"/>
        <v>806</v>
      </c>
      <c r="L50" s="96">
        <f t="shared" si="93"/>
        <v>927.200000000002</v>
      </c>
      <c r="M50" s="96">
        <f t="shared" ref="M50:Q50" si="94">M36+M42+M47</f>
        <v>810.889393</v>
      </c>
      <c r="N50" s="96">
        <f t="shared" si="94"/>
        <v>872.9689429075</v>
      </c>
      <c r="O50" s="96">
        <f t="shared" si="94"/>
        <v>914.076765234406</v>
      </c>
      <c r="P50" s="96">
        <f t="shared" si="94"/>
        <v>958.262826962329</v>
      </c>
      <c r="Q50" s="96">
        <f t="shared" si="94"/>
        <v>1005.72099519796</v>
      </c>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row>
    <row r="51" ht="18.5" spans="1:50">
      <c r="A51" s="2"/>
      <c r="B51" s="2" t="s">
        <v>40</v>
      </c>
      <c r="C51" s="2"/>
      <c r="D51" s="16">
        <f t="shared" ref="D51:L51" si="95">D50/D25</f>
        <v>0.0732579458747324</v>
      </c>
      <c r="E51" s="16">
        <f t="shared" si="95"/>
        <v>0.100811367553706</v>
      </c>
      <c r="F51" s="16">
        <f t="shared" si="95"/>
        <v>0.093597773138483</v>
      </c>
      <c r="G51" s="16">
        <f t="shared" si="95"/>
        <v>0.0733816609436602</v>
      </c>
      <c r="H51" s="16">
        <f t="shared" si="95"/>
        <v>0.0698108267329973</v>
      </c>
      <c r="I51" s="16">
        <f t="shared" si="95"/>
        <v>0.0624260211113454</v>
      </c>
      <c r="J51" s="16">
        <f t="shared" si="95"/>
        <v>0.0842228191054537</v>
      </c>
      <c r="K51" s="16">
        <f t="shared" si="95"/>
        <v>0.0796049382716049</v>
      </c>
      <c r="L51" s="16">
        <f t="shared" si="95"/>
        <v>0.0879529501043447</v>
      </c>
      <c r="M51" s="16">
        <f t="shared" ref="M51" si="96">M50/M25</f>
        <v>0.0685425526675979</v>
      </c>
      <c r="N51" s="16">
        <f t="shared" ref="N51" si="97">N50/N25</f>
        <v>0.0686239946483634</v>
      </c>
      <c r="O51" s="16">
        <f t="shared" ref="O51" si="98">O50/O25</f>
        <v>0.0688178742017787</v>
      </c>
      <c r="P51" s="16">
        <f t="shared" ref="P51" si="99">P50/P25</f>
        <v>0.0690176415779479</v>
      </c>
      <c r="Q51" s="16">
        <f t="shared" ref="Q51" si="100">Q50/Q25</f>
        <v>0.0692234165277616</v>
      </c>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row>
    <row r="52" ht="18.5" spans="1:50">
      <c r="A52" s="2"/>
      <c r="B52" s="2" t="s">
        <v>18</v>
      </c>
      <c r="C52" s="2"/>
      <c r="D52" s="39"/>
      <c r="E52" s="16">
        <f>E50/D50-1</f>
        <v>0.796873829184587</v>
      </c>
      <c r="F52" s="16">
        <f t="shared" ref="F52:L52" si="101">F50/E50-1</f>
        <v>0.233944954128442</v>
      </c>
      <c r="G52" s="16">
        <f t="shared" si="101"/>
        <v>0.169989861439675</v>
      </c>
      <c r="H52" s="16">
        <f t="shared" si="101"/>
        <v>0.232235701906413</v>
      </c>
      <c r="I52" s="16">
        <f t="shared" si="101"/>
        <v>-0.0975152367557429</v>
      </c>
      <c r="J52" s="16">
        <f t="shared" si="101"/>
        <v>0.873246753246752</v>
      </c>
      <c r="K52" s="16">
        <f t="shared" si="101"/>
        <v>0.117581808097615</v>
      </c>
      <c r="L52" s="16">
        <f t="shared" si="101"/>
        <v>0.150372208436727</v>
      </c>
      <c r="M52" s="16">
        <f t="shared" ref="M52" si="102">M50/L50-1</f>
        <v>-0.125442846203626</v>
      </c>
      <c r="N52" s="16">
        <f t="shared" ref="N52" si="103">N50/M50-1</f>
        <v>0.0765573584306343</v>
      </c>
      <c r="O52" s="16">
        <f t="shared" ref="O52" si="104">O50/N50-1</f>
        <v>0.0470896733049779</v>
      </c>
      <c r="P52" s="16">
        <f t="shared" ref="P52" si="105">P50/O50-1</f>
        <v>0.0483395524407533</v>
      </c>
      <c r="Q52" s="16">
        <f t="shared" ref="Q52" si="106">Q50/P50-1</f>
        <v>0.0495252105166919</v>
      </c>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row>
    <row r="53" ht="18.5" spans="1:50">
      <c r="A53" s="2"/>
      <c r="B53" s="2" t="s">
        <v>126</v>
      </c>
      <c r="C53" s="2"/>
      <c r="D53" s="2"/>
      <c r="E53" s="2"/>
      <c r="F53" s="110">
        <f>(F52-E52)*10000</f>
        <v>-5629.28875056146</v>
      </c>
      <c r="G53" s="110">
        <f t="shared" ref="G53" si="107">(G52-F52)*10000</f>
        <v>-639.550926887671</v>
      </c>
      <c r="H53" s="110">
        <f t="shared" ref="H53" si="108">(H52-G52)*10000</f>
        <v>622.458404667385</v>
      </c>
      <c r="I53" s="110">
        <f t="shared" ref="I53" si="109">(I52-H52)*10000</f>
        <v>-3297.50938662156</v>
      </c>
      <c r="J53" s="110">
        <f t="shared" ref="J53" si="110">(J52-I52)*10000</f>
        <v>9707.61990002495</v>
      </c>
      <c r="K53" s="110">
        <f t="shared" ref="K53" si="111">(K52-J52)*10000</f>
        <v>-7556.64945149137</v>
      </c>
      <c r="L53" s="110">
        <f t="shared" ref="L53" si="112">(L52-K52)*10000</f>
        <v>327.904003391124</v>
      </c>
      <c r="M53" s="110">
        <f t="shared" ref="M53" si="113">(M52-L52)*10000</f>
        <v>-2758.15054640354</v>
      </c>
      <c r="N53" s="110">
        <f t="shared" ref="N53" si="114">(N52-M52)*10000</f>
        <v>2020.00204634261</v>
      </c>
      <c r="O53" s="110">
        <f t="shared" ref="O53" si="115">(O52-N52)*10000</f>
        <v>-294.676851256563</v>
      </c>
      <c r="P53" s="110">
        <f t="shared" ref="P53" si="116">(P52-O52)*10000</f>
        <v>12.4987913577534</v>
      </c>
      <c r="Q53" s="110">
        <f t="shared" ref="Q53" si="117">(Q52-P52)*10000</f>
        <v>11.8565807593862</v>
      </c>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row>
    <row r="54" ht="18.5" spans="1:50">
      <c r="A54" s="2"/>
      <c r="B54" s="8" t="s">
        <v>456</v>
      </c>
      <c r="C54" s="2"/>
      <c r="D54" s="96"/>
      <c r="E54" s="97">
        <f t="shared" ref="E54:L54" si="118">(E50-D50)/(E25-D25)</f>
        <v>0.190926391382406</v>
      </c>
      <c r="F54" s="97">
        <f t="shared" si="118"/>
        <v>0.0716749712533541</v>
      </c>
      <c r="G54" s="97">
        <f t="shared" si="118"/>
        <v>0.0323181701362116</v>
      </c>
      <c r="H54" s="97">
        <f t="shared" si="118"/>
        <v>0.0577171572146448</v>
      </c>
      <c r="I54" s="97">
        <f t="shared" si="118"/>
        <v>-0.736283185840707</v>
      </c>
      <c r="J54" s="97">
        <f t="shared" si="118"/>
        <v>0.140334766456568</v>
      </c>
      <c r="K54" s="97">
        <f t="shared" si="118"/>
        <v>0.0542893725992317</v>
      </c>
      <c r="L54" s="97">
        <f t="shared" si="118"/>
        <v>0.290647482014392</v>
      </c>
      <c r="M54" s="97">
        <f t="shared" ref="M54:Q54" si="119">(M50-L50)/(M25-L25)</f>
        <v>-0.0902715731324784</v>
      </c>
      <c r="N54" s="97">
        <f t="shared" si="119"/>
        <v>0.0697058528920715</v>
      </c>
      <c r="O54" s="97">
        <f t="shared" si="119"/>
        <v>0.0732102794611664</v>
      </c>
      <c r="P54" s="97">
        <f t="shared" si="119"/>
        <v>0.0734270115502825</v>
      </c>
      <c r="Q54" s="97">
        <f t="shared" si="119"/>
        <v>0.0736577082573684</v>
      </c>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row>
    <row r="55" ht="18.5" spans="1:50">
      <c r="A55" s="2"/>
      <c r="B55" s="8" t="s">
        <v>439</v>
      </c>
      <c r="C55" s="2"/>
      <c r="D55" s="96"/>
      <c r="E55" s="98">
        <f t="shared" ref="E55:Q55" si="120">E50/E10</f>
        <v>0.186180124223602</v>
      </c>
      <c r="F55" s="98">
        <f t="shared" si="120"/>
        <v>0.200746268656717</v>
      </c>
      <c r="G55" s="98">
        <f t="shared" si="120"/>
        <v>0.143057851239669</v>
      </c>
      <c r="H55" s="98">
        <f t="shared" si="120"/>
        <v>0.174264705882353</v>
      </c>
      <c r="I55" s="98">
        <f t="shared" si="120"/>
        <v>0.146054628224583</v>
      </c>
      <c r="J55" s="98">
        <f t="shared" si="120"/>
        <v>0.211992945326279</v>
      </c>
      <c r="K55" s="98">
        <f t="shared" si="120"/>
        <v>0.237758112094395</v>
      </c>
      <c r="L55" s="98">
        <f t="shared" si="120"/>
        <v>0.27952969550799</v>
      </c>
      <c r="M55" s="98">
        <f t="shared" si="120"/>
        <v>0.228471677481341</v>
      </c>
      <c r="N55" s="98">
        <f t="shared" si="120"/>
        <v>0.234250348176693</v>
      </c>
      <c r="O55" s="98">
        <f t="shared" si="120"/>
        <v>0.238137010236807</v>
      </c>
      <c r="P55" s="98">
        <f t="shared" si="120"/>
        <v>0.24237713274877</v>
      </c>
      <c r="Q55" s="98">
        <f t="shared" si="120"/>
        <v>0.246971758517073</v>
      </c>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row>
    <row r="56" ht="18.5" spans="1:50">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row>
    <row r="57" ht="18.5" spans="1:50">
      <c r="A57" s="2"/>
      <c r="B57" s="2" t="s">
        <v>192</v>
      </c>
      <c r="C57" s="2"/>
      <c r="D57" s="39">
        <f>MOD!F219</f>
        <v>-1.775</v>
      </c>
      <c r="E57" s="39">
        <f>MOD!G219</f>
        <v>-1.4</v>
      </c>
      <c r="F57" s="39">
        <f>MOD!H219</f>
        <v>-1.4</v>
      </c>
      <c r="G57" s="39">
        <f>MOD!I219</f>
        <v>-6.3</v>
      </c>
      <c r="H57" s="39">
        <f>MOD!J219</f>
        <v>-78.1</v>
      </c>
      <c r="I57" s="39">
        <f>MOD!K219</f>
        <v>-61</v>
      </c>
      <c r="J57" s="39">
        <f>MOD!O219</f>
        <v>-66.5</v>
      </c>
      <c r="K57" s="2">
        <f>MOD!S219</f>
        <v>-319.3</v>
      </c>
      <c r="L57" s="2">
        <f>MOD!W219</f>
        <v>-116</v>
      </c>
      <c r="M57" s="2">
        <v>-116</v>
      </c>
      <c r="N57" s="2">
        <v>-116</v>
      </c>
      <c r="O57" s="2">
        <v>-116</v>
      </c>
      <c r="P57" s="2">
        <v>-116</v>
      </c>
      <c r="Q57" s="2">
        <v>-116</v>
      </c>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row>
    <row r="58" ht="18.5" spans="1:50">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row>
    <row r="59" ht="18.5" spans="1:50">
      <c r="A59" s="2"/>
      <c r="B59" s="8" t="s">
        <v>193</v>
      </c>
      <c r="C59" s="2"/>
      <c r="D59" s="96">
        <f t="shared" ref="D59:L59" si="121">D50+D57</f>
        <v>131.679</v>
      </c>
      <c r="E59" s="96">
        <f t="shared" si="121"/>
        <v>238.4</v>
      </c>
      <c r="F59" s="96">
        <f t="shared" si="121"/>
        <v>294.5</v>
      </c>
      <c r="G59" s="96">
        <f t="shared" si="121"/>
        <v>339.9</v>
      </c>
      <c r="H59" s="96">
        <f t="shared" si="121"/>
        <v>348.5</v>
      </c>
      <c r="I59" s="96">
        <f t="shared" si="121"/>
        <v>324</v>
      </c>
      <c r="J59" s="96">
        <f t="shared" si="121"/>
        <v>654.7</v>
      </c>
      <c r="K59" s="96">
        <f t="shared" si="121"/>
        <v>486.7</v>
      </c>
      <c r="L59" s="96">
        <f t="shared" si="121"/>
        <v>811.200000000002</v>
      </c>
      <c r="M59" s="96">
        <f t="shared" ref="M59:Q59" si="122">M50+M57</f>
        <v>694.889393</v>
      </c>
      <c r="N59" s="96">
        <f t="shared" si="122"/>
        <v>756.9689429075</v>
      </c>
      <c r="O59" s="96">
        <f t="shared" si="122"/>
        <v>798.076765234406</v>
      </c>
      <c r="P59" s="96">
        <f t="shared" si="122"/>
        <v>842.262826962329</v>
      </c>
      <c r="Q59" s="96">
        <f t="shared" si="122"/>
        <v>889.720995197958</v>
      </c>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row>
    <row r="60" ht="18.5" spans="1:50">
      <c r="A60" s="2"/>
      <c r="B60" s="2" t="s">
        <v>40</v>
      </c>
      <c r="C60" s="2"/>
      <c r="D60" s="16">
        <f t="shared" ref="D60:L60" si="123">D59/D25</f>
        <v>0.0722835812702421</v>
      </c>
      <c r="E60" s="16">
        <f t="shared" si="123"/>
        <v>0.100222810778997</v>
      </c>
      <c r="F60" s="16">
        <f t="shared" si="123"/>
        <v>0.0931549313595243</v>
      </c>
      <c r="G60" s="16">
        <f t="shared" si="123"/>
        <v>0.0720462927635762</v>
      </c>
      <c r="H60" s="16">
        <f t="shared" si="123"/>
        <v>0.0570301760816915</v>
      </c>
      <c r="I60" s="16">
        <f t="shared" si="123"/>
        <v>0.0525351450391582</v>
      </c>
      <c r="J60" s="16">
        <f t="shared" si="123"/>
        <v>0.0764568492350812</v>
      </c>
      <c r="K60" s="16">
        <f t="shared" si="123"/>
        <v>0.0480691358024691</v>
      </c>
      <c r="L60" s="16">
        <f t="shared" si="123"/>
        <v>0.0769493454752421</v>
      </c>
      <c r="M60" s="16">
        <f t="shared" ref="M60" si="124">M59/M25</f>
        <v>0.058737348433731</v>
      </c>
      <c r="N60" s="16">
        <f t="shared" ref="N60" si="125">N59/N25</f>
        <v>0.0595052471329049</v>
      </c>
      <c r="O60" s="16">
        <f t="shared" ref="O60" si="126">O59/O25</f>
        <v>0.0600846105295977</v>
      </c>
      <c r="P60" s="16">
        <f t="shared" ref="P60" si="127">P59/P25</f>
        <v>0.0606628915054433</v>
      </c>
      <c r="Q60" s="16">
        <f t="shared" ref="Q60" si="128">Q59/Q25</f>
        <v>0.0612391780008133</v>
      </c>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row>
    <row r="61" ht="18.5" spans="1:50">
      <c r="A61" s="2"/>
      <c r="B61" s="2" t="s">
        <v>18</v>
      </c>
      <c r="C61" s="2"/>
      <c r="D61" s="96"/>
      <c r="E61" s="16">
        <f>E59/D59-1</f>
        <v>0.810463323688667</v>
      </c>
      <c r="F61" s="16">
        <f t="shared" ref="F61:L61" si="129">F59/E59-1</f>
        <v>0.23531879194631</v>
      </c>
      <c r="G61" s="16">
        <f t="shared" si="129"/>
        <v>0.15415959252971</v>
      </c>
      <c r="H61" s="16">
        <f t="shared" si="129"/>
        <v>0.0253015592821426</v>
      </c>
      <c r="I61" s="16">
        <f t="shared" si="129"/>
        <v>-0.0703012912482064</v>
      </c>
      <c r="J61" s="16">
        <f t="shared" si="129"/>
        <v>1.02067901234568</v>
      </c>
      <c r="K61" s="16">
        <f t="shared" si="129"/>
        <v>-0.256606079120208</v>
      </c>
      <c r="L61" s="16">
        <f t="shared" si="129"/>
        <v>0.666735155126366</v>
      </c>
      <c r="M61" s="16">
        <f t="shared" ref="M61" si="130">M59/L59-1</f>
        <v>-0.143380925788957</v>
      </c>
      <c r="N61" s="16">
        <f t="shared" ref="N61" si="131">N59/M59-1</f>
        <v>0.0893373111359328</v>
      </c>
      <c r="O61" s="16">
        <f t="shared" ref="O61" si="132">O59/N59-1</f>
        <v>0.0543058241848231</v>
      </c>
      <c r="P61" s="16">
        <f t="shared" ref="P61" si="133">P59/O59-1</f>
        <v>0.0553656786574217</v>
      </c>
      <c r="Q61" s="16">
        <f t="shared" ref="Q61" si="134">Q59/P59-1</f>
        <v>0.0563460320417919</v>
      </c>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row>
    <row r="62" ht="18.5" spans="1:50">
      <c r="A62" s="2"/>
      <c r="B62" s="2" t="s">
        <v>126</v>
      </c>
      <c r="C62" s="2"/>
      <c r="D62" s="96"/>
      <c r="E62" s="2"/>
      <c r="F62" s="110">
        <f>(F61-E61)*10000</f>
        <v>-5751.44531742357</v>
      </c>
      <c r="G62" s="110">
        <f t="shared" ref="G62" si="135">(G61-F61)*10000</f>
        <v>-811.591994165999</v>
      </c>
      <c r="H62" s="110">
        <f t="shared" ref="H62" si="136">(H61-G61)*10000</f>
        <v>-1288.58033247568</v>
      </c>
      <c r="I62" s="110">
        <f t="shared" ref="I62" si="137">(I61-H61)*10000</f>
        <v>-956.02850530349</v>
      </c>
      <c r="J62" s="110">
        <f t="shared" ref="J62" si="138">(J61-I61)*10000</f>
        <v>10909.8030359388</v>
      </c>
      <c r="K62" s="110">
        <f t="shared" ref="K62" si="139">(K61-J61)*10000</f>
        <v>-12772.8509146589</v>
      </c>
      <c r="L62" s="110">
        <f t="shared" ref="L62" si="140">(L61-K61)*10000</f>
        <v>9233.41234246574</v>
      </c>
      <c r="M62" s="110">
        <f t="shared" ref="M62" si="141">(M61-L61)*10000</f>
        <v>-8101.16080915323</v>
      </c>
      <c r="N62" s="110">
        <f t="shared" ref="N62" si="142">(N61-M61)*10000</f>
        <v>2327.1823692489</v>
      </c>
      <c r="O62" s="110">
        <f t="shared" ref="O62" si="143">(O61-N61)*10000</f>
        <v>-350.314869511097</v>
      </c>
      <c r="P62" s="110">
        <f t="shared" ref="P62" si="144">(P61-O61)*10000</f>
        <v>10.598544725986</v>
      </c>
      <c r="Q62" s="110">
        <f t="shared" ref="Q62" si="145">(Q61-P61)*10000</f>
        <v>9.80353384370192</v>
      </c>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row>
    <row r="63" ht="18.5" spans="1:50">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row>
    <row r="64" ht="18.5" spans="1:50">
      <c r="A64" s="2"/>
      <c r="B64" s="2" t="s">
        <v>380</v>
      </c>
      <c r="C64" s="2"/>
      <c r="D64" s="110">
        <f>MOD!F222</f>
        <v>-31.001</v>
      </c>
      <c r="E64" s="110">
        <f>MOD!G222</f>
        <v>-53.788</v>
      </c>
      <c r="F64" s="110">
        <f>MOD!H222</f>
        <v>-58.1</v>
      </c>
      <c r="G64" s="110">
        <f>MOD!I222</f>
        <v>-75.7</v>
      </c>
      <c r="H64" s="110">
        <f>MOD!J222</f>
        <v>-97.8</v>
      </c>
      <c r="I64" s="110">
        <f>MOD!K222</f>
        <v>-94.8</v>
      </c>
      <c r="J64" s="110">
        <f>MOD!O222</f>
        <v>-195.1</v>
      </c>
      <c r="K64" s="110">
        <f>MOD!S222</f>
        <v>-214.2</v>
      </c>
      <c r="L64" s="110">
        <f>MOD!W222</f>
        <v>-206.2</v>
      </c>
      <c r="M64" s="117">
        <f>-M59*M65</f>
        <v>-176.501905822</v>
      </c>
      <c r="N64" s="117">
        <f t="shared" ref="N64:Q64" si="146">-N59*N65</f>
        <v>-192.270111498505</v>
      </c>
      <c r="O64" s="117">
        <f t="shared" si="146"/>
        <v>-202.711498369539</v>
      </c>
      <c r="P64" s="117">
        <f t="shared" si="146"/>
        <v>-213.934758048432</v>
      </c>
      <c r="Q64" s="117">
        <f t="shared" si="146"/>
        <v>-225.989132780281</v>
      </c>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row>
    <row r="65" ht="18.5" spans="1:50">
      <c r="A65" s="2"/>
      <c r="B65" s="2" t="s">
        <v>382</v>
      </c>
      <c r="C65" s="2"/>
      <c r="D65" s="16">
        <f>-D64/D59</f>
        <v>0.235428580107686</v>
      </c>
      <c r="E65" s="16">
        <f t="shared" ref="E65:L65" si="147">-E64/E59</f>
        <v>0.225620805369128</v>
      </c>
      <c r="F65" s="16">
        <f t="shared" si="147"/>
        <v>0.197283531409168</v>
      </c>
      <c r="G65" s="16">
        <f t="shared" si="147"/>
        <v>0.222712562518388</v>
      </c>
      <c r="H65" s="16">
        <f t="shared" si="147"/>
        <v>0.280631276901004</v>
      </c>
      <c r="I65" s="16">
        <f t="shared" si="147"/>
        <v>0.292592592592592</v>
      </c>
      <c r="J65" s="16">
        <f t="shared" si="147"/>
        <v>0.297999083549717</v>
      </c>
      <c r="K65" s="16">
        <f t="shared" si="147"/>
        <v>0.440106841997123</v>
      </c>
      <c r="L65" s="16">
        <f t="shared" si="147"/>
        <v>0.254191321499013</v>
      </c>
      <c r="M65" s="16">
        <v>0.254</v>
      </c>
      <c r="N65" s="16">
        <v>0.254</v>
      </c>
      <c r="O65" s="16">
        <v>0.254</v>
      </c>
      <c r="P65" s="16">
        <v>0.254</v>
      </c>
      <c r="Q65" s="16">
        <v>0.254</v>
      </c>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row>
    <row r="66" ht="18.5" spans="1:50">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row>
    <row r="67" ht="18.5" spans="1:50">
      <c r="A67" s="2"/>
      <c r="B67" s="8" t="s">
        <v>198</v>
      </c>
      <c r="C67" s="2"/>
      <c r="D67" s="96">
        <f>D59+D64</f>
        <v>100.678</v>
      </c>
      <c r="E67" s="96">
        <f t="shared" ref="E67:Q67" si="148">E59+E64</f>
        <v>184.612</v>
      </c>
      <c r="F67" s="96">
        <f t="shared" si="148"/>
        <v>236.4</v>
      </c>
      <c r="G67" s="96">
        <f t="shared" si="148"/>
        <v>264.2</v>
      </c>
      <c r="H67" s="96">
        <f t="shared" si="148"/>
        <v>250.7</v>
      </c>
      <c r="I67" s="96">
        <f t="shared" si="148"/>
        <v>229.2</v>
      </c>
      <c r="J67" s="96">
        <f t="shared" si="148"/>
        <v>459.6</v>
      </c>
      <c r="K67" s="96">
        <f t="shared" si="148"/>
        <v>272.5</v>
      </c>
      <c r="L67" s="96">
        <f t="shared" si="148"/>
        <v>605.000000000002</v>
      </c>
      <c r="M67" s="96">
        <f t="shared" si="148"/>
        <v>518.387487178</v>
      </c>
      <c r="N67" s="96">
        <f t="shared" si="148"/>
        <v>564.698831408995</v>
      </c>
      <c r="O67" s="96">
        <f t="shared" si="148"/>
        <v>595.365266864867</v>
      </c>
      <c r="P67" s="96">
        <f t="shared" si="148"/>
        <v>628.328068913897</v>
      </c>
      <c r="Q67" s="96">
        <f t="shared" si="148"/>
        <v>663.731862417677</v>
      </c>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row>
    <row r="68" ht="18.5" spans="1:50">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row>
    <row r="69" ht="18.5" spans="1:50">
      <c r="A69" s="2"/>
      <c r="B69" s="8" t="s">
        <v>199</v>
      </c>
      <c r="C69" s="2"/>
      <c r="D69" s="96">
        <f>MOD!F233</f>
        <v>97.634</v>
      </c>
      <c r="E69" s="96">
        <f>MOD!G233</f>
        <v>178.9</v>
      </c>
      <c r="F69" s="96">
        <f>MOD!H233</f>
        <v>231.9</v>
      </c>
      <c r="G69" s="96">
        <f>MOD!I233</f>
        <v>261.8</v>
      </c>
      <c r="H69" s="96">
        <f>MOD!J233</f>
        <v>246.1</v>
      </c>
      <c r="I69" s="96">
        <f>MOD!K233</f>
        <v>224.3</v>
      </c>
      <c r="J69" s="96">
        <f>MOD!O233</f>
        <v>369.7</v>
      </c>
      <c r="K69" s="96">
        <f>MOD!S233</f>
        <v>188.3</v>
      </c>
      <c r="L69" s="96">
        <f>MOD!W233</f>
        <v>538.8</v>
      </c>
      <c r="M69" s="117">
        <f>M70*M67</f>
        <v>466.5487384602</v>
      </c>
      <c r="N69" s="117">
        <f t="shared" ref="N69:Q69" si="149">N70*N67</f>
        <v>508.228948268096</v>
      </c>
      <c r="O69" s="117">
        <f t="shared" si="149"/>
        <v>535.82874017838</v>
      </c>
      <c r="P69" s="117">
        <f t="shared" si="149"/>
        <v>565.495262022508</v>
      </c>
      <c r="Q69" s="117">
        <f t="shared" si="149"/>
        <v>597.358676175909</v>
      </c>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row>
    <row r="70" ht="18.5" spans="1:50">
      <c r="A70" s="2"/>
      <c r="B70" s="2" t="s">
        <v>457</v>
      </c>
      <c r="C70" s="2"/>
      <c r="D70" s="16">
        <f>D69/D67</f>
        <v>0.96976499334512</v>
      </c>
      <c r="E70" s="16">
        <f t="shared" ref="E70:L70" si="150">E69/E67</f>
        <v>0.969059432756268</v>
      </c>
      <c r="F70" s="16">
        <f t="shared" si="150"/>
        <v>0.980964467005075</v>
      </c>
      <c r="G70" s="16">
        <f t="shared" si="150"/>
        <v>0.990915972747918</v>
      </c>
      <c r="H70" s="16">
        <f t="shared" si="150"/>
        <v>0.981651376146788</v>
      </c>
      <c r="I70" s="16">
        <f t="shared" si="150"/>
        <v>0.978621291448516</v>
      </c>
      <c r="J70" s="16">
        <f t="shared" si="150"/>
        <v>0.804395126196693</v>
      </c>
      <c r="K70" s="16">
        <f t="shared" si="150"/>
        <v>0.691009174311927</v>
      </c>
      <c r="L70" s="16">
        <f t="shared" si="150"/>
        <v>0.890578512396691</v>
      </c>
      <c r="M70" s="16">
        <v>0.9</v>
      </c>
      <c r="N70" s="16">
        <v>0.9</v>
      </c>
      <c r="O70" s="16">
        <v>0.9</v>
      </c>
      <c r="P70" s="16">
        <v>0.9</v>
      </c>
      <c r="Q70" s="16">
        <v>0.9</v>
      </c>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row>
    <row r="71" ht="18.5" spans="1:50">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row>
    <row r="72" ht="18.5" spans="1:50">
      <c r="A72" s="2"/>
      <c r="B72" s="8" t="s">
        <v>36</v>
      </c>
      <c r="C72" s="2"/>
      <c r="D72" s="139">
        <f>MOD!F238</f>
        <v>194.646</v>
      </c>
      <c r="E72" s="139">
        <f>MOD!G238</f>
        <v>973.23316</v>
      </c>
      <c r="F72" s="139">
        <f>MOD!H238</f>
        <v>973.23316</v>
      </c>
      <c r="G72" s="139">
        <f>MOD!I238</f>
        <v>973.23316</v>
      </c>
      <c r="H72" s="139">
        <f>MOD!J238</f>
        <v>973.23316</v>
      </c>
      <c r="I72" s="139">
        <f>MOD!K238</f>
        <v>4866.1658</v>
      </c>
      <c r="J72" s="139">
        <f>MOD!O238</f>
        <v>5158.135745</v>
      </c>
      <c r="K72" s="139">
        <f>MOD!S238</f>
        <v>5158.497877</v>
      </c>
      <c r="L72" s="139">
        <f>MOD!W238</f>
        <v>5183.135745</v>
      </c>
      <c r="M72" s="139">
        <v>5183</v>
      </c>
      <c r="N72" s="139">
        <v>5183</v>
      </c>
      <c r="O72" s="139">
        <v>5183</v>
      </c>
      <c r="P72" s="139">
        <v>5183</v>
      </c>
      <c r="Q72" s="139">
        <v>5183</v>
      </c>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row>
    <row r="73" ht="18.5" spans="1:50">
      <c r="A73" s="2"/>
      <c r="B73" s="2" t="s">
        <v>18</v>
      </c>
      <c r="C73" s="2"/>
      <c r="D73" s="39"/>
      <c r="E73" s="16">
        <f>E72/D72-1</f>
        <v>4.00001623460025</v>
      </c>
      <c r="F73" s="16">
        <f t="shared" ref="F73:L73" si="151">F72/E72-1</f>
        <v>0</v>
      </c>
      <c r="G73" s="16">
        <f t="shared" si="151"/>
        <v>0</v>
      </c>
      <c r="H73" s="16">
        <f t="shared" si="151"/>
        <v>0</v>
      </c>
      <c r="I73" s="16">
        <f t="shared" si="151"/>
        <v>4</v>
      </c>
      <c r="J73" s="16">
        <f t="shared" si="151"/>
        <v>0.0599999993834981</v>
      </c>
      <c r="K73" s="16">
        <f t="shared" si="151"/>
        <v>7.02059848562975e-5</v>
      </c>
      <c r="L73" s="16">
        <f t="shared" si="151"/>
        <v>0.00477617100703909</v>
      </c>
      <c r="M73" s="16">
        <f t="shared" ref="M73" si="152">M72/L72-1</f>
        <v>-2.61897443319947e-5</v>
      </c>
      <c r="N73" s="16">
        <f t="shared" ref="N73" si="153">N72/M72-1</f>
        <v>0</v>
      </c>
      <c r="O73" s="16">
        <f t="shared" ref="O73" si="154">O72/N72-1</f>
        <v>0</v>
      </c>
      <c r="P73" s="16">
        <f t="shared" ref="P73" si="155">P72/O72-1</f>
        <v>0</v>
      </c>
      <c r="Q73" s="16">
        <f t="shared" ref="Q73" si="156">Q72/P72-1</f>
        <v>0</v>
      </c>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row>
    <row r="74" ht="18.5" spans="1:50">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row>
    <row r="75" ht="18.5" spans="1:50">
      <c r="A75" s="2"/>
      <c r="B75" s="127" t="s">
        <v>65</v>
      </c>
      <c r="C75" s="128"/>
      <c r="D75" s="138">
        <f>D69/D72</f>
        <v>0.501597772366244</v>
      </c>
      <c r="E75" s="138">
        <f t="shared" ref="E75:Q75" si="157">E69/E72</f>
        <v>0.183820288244186</v>
      </c>
      <c r="F75" s="138">
        <f t="shared" si="157"/>
        <v>0.238277947701659</v>
      </c>
      <c r="G75" s="138">
        <f t="shared" si="157"/>
        <v>0.269000287659742</v>
      </c>
      <c r="H75" s="138">
        <f t="shared" si="157"/>
        <v>0.252868490424227</v>
      </c>
      <c r="I75" s="138">
        <f t="shared" si="157"/>
        <v>0.0460937849672118</v>
      </c>
      <c r="J75" s="138">
        <f t="shared" si="157"/>
        <v>0.0716731816060417</v>
      </c>
      <c r="K75" s="138">
        <f t="shared" si="157"/>
        <v>0.0365028743812353</v>
      </c>
      <c r="L75" s="138">
        <f t="shared" si="157"/>
        <v>0.103952515717876</v>
      </c>
      <c r="M75" s="138">
        <f t="shared" si="157"/>
        <v>0.0900151916766737</v>
      </c>
      <c r="N75" s="138">
        <f t="shared" si="157"/>
        <v>0.0980569068624533</v>
      </c>
      <c r="O75" s="138">
        <f t="shared" si="157"/>
        <v>0.103381968006633</v>
      </c>
      <c r="P75" s="138">
        <f t="shared" si="157"/>
        <v>0.10910578082626</v>
      </c>
      <c r="Q75" s="138">
        <f t="shared" si="157"/>
        <v>0.115253458648642</v>
      </c>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row>
    <row r="76" ht="18.5" spans="1:50">
      <c r="A76" s="2"/>
      <c r="B76" s="2" t="s">
        <v>18</v>
      </c>
      <c r="C76" s="2"/>
      <c r="D76" s="2"/>
      <c r="E76" s="16">
        <f>E75/D75-1</f>
        <v>-0.633530493213657</v>
      </c>
      <c r="F76" s="16">
        <f t="shared" ref="F76:L76" si="158">F75/E75-1</f>
        <v>0.296254891000559</v>
      </c>
      <c r="G76" s="16">
        <f t="shared" si="158"/>
        <v>0.128934885726606</v>
      </c>
      <c r="H76" s="16">
        <f t="shared" si="158"/>
        <v>-0.0599694423223835</v>
      </c>
      <c r="I76" s="16">
        <f t="shared" si="158"/>
        <v>-0.817716375457131</v>
      </c>
      <c r="J76" s="16">
        <f t="shared" si="158"/>
        <v>0.55494242134868</v>
      </c>
      <c r="K76" s="16">
        <f t="shared" si="158"/>
        <v>-0.49070386491454</v>
      </c>
      <c r="L76" s="16">
        <f t="shared" si="158"/>
        <v>1.84778986531851</v>
      </c>
      <c r="M76" s="16">
        <f t="shared" ref="M76" si="159">M75/L75-1</f>
        <v>-0.134073946599121</v>
      </c>
      <c r="N76" s="16">
        <f t="shared" ref="N76" si="160">N75/M75-1</f>
        <v>0.0893373111359328</v>
      </c>
      <c r="O76" s="16">
        <f t="shared" ref="O76" si="161">O75/N75-1</f>
        <v>0.0543058241848229</v>
      </c>
      <c r="P76" s="16">
        <f t="shared" ref="P76" si="162">P75/O75-1</f>
        <v>0.0553656786574219</v>
      </c>
      <c r="Q76" s="16">
        <f t="shared" ref="Q76" si="163">Q75/P75-1</f>
        <v>0.0563460320417919</v>
      </c>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row>
    <row r="77" ht="18.5" spans="1:50">
      <c r="A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row>
    <row r="78" ht="26" spans="1:50">
      <c r="A78" s="2"/>
      <c r="B78" s="107" t="s">
        <v>458</v>
      </c>
      <c r="C78" s="108"/>
      <c r="D78" s="108"/>
      <c r="E78" s="108"/>
      <c r="F78" s="108"/>
      <c r="G78" s="108"/>
      <c r="H78" s="108"/>
      <c r="I78" s="108"/>
      <c r="J78" s="108"/>
      <c r="K78" s="108"/>
      <c r="L78" s="108"/>
      <c r="M78" s="108"/>
      <c r="N78" s="108"/>
      <c r="O78" s="108"/>
      <c r="P78" s="108"/>
      <c r="Q78" s="108"/>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row>
    <row r="79" ht="18.5" spans="1:50">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row>
    <row r="80" ht="18.5" spans="1:50">
      <c r="A80" s="2"/>
      <c r="B80" s="8" t="s">
        <v>164</v>
      </c>
      <c r="C80" s="2"/>
      <c r="D80" s="98">
        <v>1.60738235294118</v>
      </c>
      <c r="E80" s="98">
        <v>1.45898524844721</v>
      </c>
      <c r="F80" s="98">
        <v>1.71582089552239</v>
      </c>
      <c r="G80" s="98">
        <v>1.5206132231405</v>
      </c>
      <c r="H80" s="98">
        <v>1.84721895424837</v>
      </c>
      <c r="I80" s="98">
        <v>1.33359673748103</v>
      </c>
      <c r="J80" s="98">
        <v>1.66628630217519</v>
      </c>
      <c r="K80" s="98">
        <v>2.15530973451327</v>
      </c>
      <c r="L80" s="98">
        <v>2.39873379559843</v>
      </c>
      <c r="M80" s="99">
        <f>L80*(1+M81)</f>
        <v>2.71056918902623</v>
      </c>
      <c r="N80" s="99">
        <f t="shared" ref="N80" si="164">M80*(1+N81)</f>
        <v>2.84609764847754</v>
      </c>
      <c r="O80" s="99">
        <f t="shared" ref="O80" si="165">N80*(1+O81)</f>
        <v>2.93148057793187</v>
      </c>
      <c r="P80" s="99">
        <f t="shared" ref="P80" si="166">O80*(1+P81)</f>
        <v>3.01942499526982</v>
      </c>
      <c r="Q80" s="99">
        <f t="shared" ref="Q80" si="167">P80*(1+Q81)</f>
        <v>3.11000774512792</v>
      </c>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row>
    <row r="81" ht="18.5" spans="1:50">
      <c r="A81" s="2"/>
      <c r="B81" s="2" t="s">
        <v>437</v>
      </c>
      <c r="C81" s="2"/>
      <c r="D81" s="98"/>
      <c r="E81" s="16">
        <v>-0.0923222183088148</v>
      </c>
      <c r="F81" s="16">
        <v>0.176037178819</v>
      </c>
      <c r="G81" s="16">
        <v>-0.113769259303991</v>
      </c>
      <c r="H81" s="16">
        <v>0.214785539240108</v>
      </c>
      <c r="I81" s="16">
        <v>-0.278051616775623</v>
      </c>
      <c r="J81" s="16">
        <v>0.24946789036284</v>
      </c>
      <c r="K81" s="16">
        <v>0.293481037262147</v>
      </c>
      <c r="L81" s="16">
        <v>0.11294156806661</v>
      </c>
      <c r="M81" s="112">
        <v>0.13</v>
      </c>
      <c r="N81" s="112">
        <v>0.05</v>
      </c>
      <c r="O81" s="112">
        <v>0.03</v>
      </c>
      <c r="P81" s="112">
        <v>0.03</v>
      </c>
      <c r="Q81" s="112">
        <v>0.03</v>
      </c>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row>
    <row r="82" ht="18.5" spans="1:50">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row>
    <row r="83" ht="18.5" spans="1:50">
      <c r="A83" s="2"/>
      <c r="B83" s="8" t="s">
        <v>436</v>
      </c>
      <c r="C83" s="2"/>
      <c r="D83" s="109">
        <v>918</v>
      </c>
      <c r="E83" s="109">
        <v>1288</v>
      </c>
      <c r="F83" s="109">
        <v>1474</v>
      </c>
      <c r="G83" s="109">
        <v>2420</v>
      </c>
      <c r="H83" s="109">
        <v>2448</v>
      </c>
      <c r="I83" s="109">
        <v>2636</v>
      </c>
      <c r="J83" s="109">
        <v>3402</v>
      </c>
      <c r="K83" s="109">
        <v>3390</v>
      </c>
      <c r="L83" s="109">
        <v>3317</v>
      </c>
      <c r="M83" s="110">
        <f>L83*(1+M84)</f>
        <v>3582.36</v>
      </c>
      <c r="N83" s="110">
        <f t="shared" ref="N83" si="168">M83*(1+N84)</f>
        <v>3761.478</v>
      </c>
      <c r="O83" s="110">
        <f t="shared" ref="O83" si="169">N83*(1+O84)</f>
        <v>3874.32234</v>
      </c>
      <c r="P83" s="110">
        <f t="shared" ref="P83" si="170">O83*(1+P84)</f>
        <v>3990.5520102</v>
      </c>
      <c r="Q83" s="110">
        <f t="shared" ref="Q83" si="171">P83*(1+Q84)</f>
        <v>4110.268570506</v>
      </c>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row>
    <row r="84" ht="18.5" spans="1:50">
      <c r="A84" s="2"/>
      <c r="B84" s="2" t="s">
        <v>437</v>
      </c>
      <c r="C84" s="2"/>
      <c r="D84" s="109"/>
      <c r="E84" s="16">
        <v>0.403050108932462</v>
      </c>
      <c r="F84" s="16">
        <v>0.144409937888199</v>
      </c>
      <c r="G84" s="16">
        <v>0.641791044776119</v>
      </c>
      <c r="H84" s="16">
        <v>0.0115702479338844</v>
      </c>
      <c r="I84" s="16">
        <v>0.076797385620915</v>
      </c>
      <c r="J84" s="16">
        <v>0.290591805766313</v>
      </c>
      <c r="K84" s="16">
        <v>-0.00352733686067019</v>
      </c>
      <c r="L84" s="16">
        <v>-0.0215339233038349</v>
      </c>
      <c r="M84" s="112">
        <v>0.08</v>
      </c>
      <c r="N84" s="112">
        <v>0.05</v>
      </c>
      <c r="O84" s="112">
        <v>0.03</v>
      </c>
      <c r="P84" s="112">
        <v>0.03</v>
      </c>
      <c r="Q84" s="112">
        <v>0.03</v>
      </c>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row>
    <row r="85" ht="18.5" spans="1:50">
      <c r="A85" s="2"/>
      <c r="B85" s="2" t="s">
        <v>149</v>
      </c>
      <c r="C85" s="2"/>
      <c r="D85" s="109"/>
      <c r="E85" s="110">
        <v>370</v>
      </c>
      <c r="F85" s="110">
        <v>186</v>
      </c>
      <c r="G85" s="110">
        <v>946</v>
      </c>
      <c r="H85" s="110">
        <v>28</v>
      </c>
      <c r="I85" s="110">
        <v>188</v>
      </c>
      <c r="J85" s="110">
        <v>766</v>
      </c>
      <c r="K85" s="110">
        <v>-12</v>
      </c>
      <c r="L85" s="110">
        <v>-73</v>
      </c>
      <c r="M85" s="110">
        <f t="shared" ref="M85:Q85" si="172">M83-L83</f>
        <v>265.36</v>
      </c>
      <c r="N85" s="110">
        <f t="shared" si="172"/>
        <v>179.118</v>
      </c>
      <c r="O85" s="110">
        <f t="shared" si="172"/>
        <v>112.84434</v>
      </c>
      <c r="P85" s="110">
        <f t="shared" si="172"/>
        <v>116.2296702</v>
      </c>
      <c r="Q85" s="110">
        <f t="shared" si="172"/>
        <v>119.716560306</v>
      </c>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row>
    <row r="86" ht="18.5" spans="1:50">
      <c r="A86" s="2"/>
      <c r="B86" s="11" t="s">
        <v>440</v>
      </c>
      <c r="C86" s="2"/>
      <c r="D86" s="109"/>
      <c r="E86" s="109"/>
      <c r="F86" s="109"/>
      <c r="G86" s="109"/>
      <c r="H86" s="109"/>
      <c r="I86" s="109"/>
      <c r="J86" s="109"/>
      <c r="K86" s="109"/>
      <c r="L86" s="109"/>
      <c r="M86" s="113">
        <v>4997</v>
      </c>
      <c r="N86" s="113">
        <v>5208</v>
      </c>
      <c r="O86" s="113">
        <v>5394</v>
      </c>
      <c r="P86" s="113">
        <f>O86*(1+P87)</f>
        <v>5588.184</v>
      </c>
      <c r="Q86" s="113">
        <f>P86*(1+Q87)</f>
        <v>5789.358624</v>
      </c>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row>
    <row r="87" ht="18.5" spans="1:50">
      <c r="A87" s="2"/>
      <c r="B87" s="2" t="s">
        <v>437</v>
      </c>
      <c r="C87" s="2"/>
      <c r="D87" s="109"/>
      <c r="E87" s="109"/>
      <c r="F87" s="109"/>
      <c r="G87" s="109"/>
      <c r="H87" s="109"/>
      <c r="I87" s="109"/>
      <c r="J87" s="109"/>
      <c r="K87" s="109"/>
      <c r="L87" s="109"/>
      <c r="M87" s="114">
        <f>M86/L83-1</f>
        <v>0.506481760627073</v>
      </c>
      <c r="N87" s="114">
        <f>N86/M86-1</f>
        <v>0.0422253352011206</v>
      </c>
      <c r="O87" s="114">
        <f>O86/N86-1</f>
        <v>0.0357142857142858</v>
      </c>
      <c r="P87" s="114">
        <v>0.036</v>
      </c>
      <c r="Q87" s="114">
        <v>0.036</v>
      </c>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row>
    <row r="88" ht="18.5" spans="1:50">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row>
    <row r="89" ht="18.5" spans="1:50">
      <c r="A89" s="2"/>
      <c r="B89" s="8" t="s">
        <v>448</v>
      </c>
      <c r="C89" s="2"/>
      <c r="D89" s="96">
        <v>1475.577</v>
      </c>
      <c r="E89" s="96">
        <v>1879.173</v>
      </c>
      <c r="F89" s="96">
        <v>2529.12</v>
      </c>
      <c r="G89" s="96">
        <v>3679.884</v>
      </c>
      <c r="H89" s="96">
        <v>4521.992</v>
      </c>
      <c r="I89" s="96">
        <v>3515.361</v>
      </c>
      <c r="J89" s="96">
        <v>5668.706</v>
      </c>
      <c r="K89" s="96">
        <v>7306.5</v>
      </c>
      <c r="L89" s="96">
        <v>7956.6</v>
      </c>
      <c r="M89" s="96">
        <f>M80*M83</f>
        <v>9710.23464</v>
      </c>
      <c r="N89" s="96">
        <f>N80*N83</f>
        <v>10705.5336906</v>
      </c>
      <c r="O89" s="96">
        <f>O80*O83</f>
        <v>11357.5006923575</v>
      </c>
      <c r="P89" s="96">
        <f>P80*P83</f>
        <v>12049.1724845221</v>
      </c>
      <c r="Q89" s="96">
        <f>Q80*Q83</f>
        <v>12782.9670888295</v>
      </c>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row>
    <row r="90" ht="18.5" spans="1:50">
      <c r="A90" s="2"/>
      <c r="B90" s="2" t="s">
        <v>437</v>
      </c>
      <c r="C90" s="2"/>
      <c r="D90" s="96"/>
      <c r="E90" s="16">
        <v>0.273517410477393</v>
      </c>
      <c r="F90" s="16">
        <v>0.345868634766464</v>
      </c>
      <c r="G90" s="16">
        <v>0.455005693680015</v>
      </c>
      <c r="H90" s="16">
        <v>0.228840909115613</v>
      </c>
      <c r="I90" s="16">
        <v>-0.222607868390745</v>
      </c>
      <c r="J90" s="16">
        <v>0.612553020870403</v>
      </c>
      <c r="K90" s="16">
        <v>0.288918493920835</v>
      </c>
      <c r="L90" s="16">
        <v>0.0889755696982142</v>
      </c>
      <c r="M90" s="16">
        <f t="shared" ref="M90" si="173">M89/L89-1</f>
        <v>0.2204</v>
      </c>
      <c r="N90" s="16">
        <f t="shared" ref="N90" si="174">N89/M89-1</f>
        <v>0.1025</v>
      </c>
      <c r="O90" s="16">
        <f t="shared" ref="O90" si="175">O89/N89-1</f>
        <v>0.0609000000000002</v>
      </c>
      <c r="P90" s="16">
        <f t="shared" ref="P90" si="176">P89/O89-1</f>
        <v>0.0609</v>
      </c>
      <c r="Q90" s="16">
        <f t="shared" ref="Q90" si="177">Q89/P89-1</f>
        <v>0.0609</v>
      </c>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row>
    <row r="91" ht="18.5" spans="1:50">
      <c r="A91" s="2"/>
      <c r="B91" s="8"/>
      <c r="C91" s="2"/>
      <c r="D91" s="96"/>
      <c r="E91" s="96"/>
      <c r="F91" s="96"/>
      <c r="G91" s="96"/>
      <c r="H91" s="96"/>
      <c r="I91" s="96"/>
      <c r="J91" s="96"/>
      <c r="K91" s="96"/>
      <c r="L91" s="96"/>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row>
    <row r="92" ht="18.5" spans="1:50">
      <c r="A92" s="2"/>
      <c r="B92" s="8" t="s">
        <v>450</v>
      </c>
      <c r="C92" s="2"/>
      <c r="D92" s="95">
        <v>255.038</v>
      </c>
      <c r="E92" s="95">
        <v>333.018</v>
      </c>
      <c r="F92" s="95">
        <v>505.824</v>
      </c>
      <c r="G92" s="95">
        <v>896.382</v>
      </c>
      <c r="H92" s="95">
        <v>1405.484</v>
      </c>
      <c r="I92" s="95">
        <v>2466.92</v>
      </c>
      <c r="J92" s="95">
        <v>2620.278</v>
      </c>
      <c r="K92" s="95">
        <v>2543.3</v>
      </c>
      <c r="L92" s="95">
        <v>2350.3</v>
      </c>
      <c r="M92" s="95">
        <f>L92*(1+M93)</f>
        <v>2326.797</v>
      </c>
      <c r="N92" s="95">
        <f t="shared" ref="N92" si="178">M92*(1+N93)</f>
        <v>2303.52903</v>
      </c>
      <c r="O92" s="95">
        <f t="shared" ref="O92" si="179">N92*(1+O93)</f>
        <v>2280.4937397</v>
      </c>
      <c r="P92" s="95">
        <f t="shared" ref="P92" si="180">O92*(1+P93)</f>
        <v>2257.688802303</v>
      </c>
      <c r="Q92" s="95">
        <f t="shared" ref="Q92" si="181">P92*(1+Q93)</f>
        <v>2235.11191427997</v>
      </c>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row>
    <row r="93" ht="18.5" spans="1:50">
      <c r="A93" s="2"/>
      <c r="B93" s="2" t="s">
        <v>437</v>
      </c>
      <c r="C93" s="2"/>
      <c r="D93" s="109"/>
      <c r="E93" s="16">
        <v>0.305758357578086</v>
      </c>
      <c r="F93" s="16">
        <v>0.518908887807866</v>
      </c>
      <c r="G93" s="16">
        <v>0.77212231922566</v>
      </c>
      <c r="H93" s="16">
        <v>0.567952056154631</v>
      </c>
      <c r="I93" s="16">
        <v>0.755210304777571</v>
      </c>
      <c r="J93" s="16">
        <v>0.06216577756879</v>
      </c>
      <c r="K93" s="16">
        <v>-0.0293777988442446</v>
      </c>
      <c r="L93" s="16">
        <v>-0.0758856603625211</v>
      </c>
      <c r="M93" s="112">
        <v>-0.01</v>
      </c>
      <c r="N93" s="112">
        <v>-0.01</v>
      </c>
      <c r="O93" s="112">
        <v>-0.01</v>
      </c>
      <c r="P93" s="112">
        <v>-0.01</v>
      </c>
      <c r="Q93" s="112">
        <v>-0.01</v>
      </c>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row>
    <row r="94" ht="18.5" spans="1:50">
      <c r="A94" s="2"/>
      <c r="B94" s="2"/>
      <c r="C94" s="2"/>
      <c r="D94" s="110"/>
      <c r="E94" s="110"/>
      <c r="F94" s="110"/>
      <c r="G94" s="110"/>
      <c r="H94" s="110"/>
      <c r="I94" s="110"/>
      <c r="J94" s="110"/>
      <c r="K94" s="110"/>
      <c r="L94" s="110"/>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row>
    <row r="95" ht="18.5" spans="1:50">
      <c r="A95" s="2"/>
      <c r="B95" s="2" t="s">
        <v>130</v>
      </c>
      <c r="C95" s="2"/>
      <c r="D95" s="95">
        <v>91.0849999999999</v>
      </c>
      <c r="E95" s="95">
        <v>166.509</v>
      </c>
      <c r="F95" s="95">
        <v>126.456</v>
      </c>
      <c r="G95" s="95">
        <v>141.534</v>
      </c>
      <c r="H95" s="95">
        <v>183.324</v>
      </c>
      <c r="I95" s="95">
        <v>185.019</v>
      </c>
      <c r="J95" s="95">
        <v>274.016</v>
      </c>
      <c r="K95" s="95">
        <v>275.2</v>
      </c>
      <c r="L95" s="95">
        <v>235.1</v>
      </c>
      <c r="M95" s="95">
        <f>L95*(1+M96)</f>
        <v>232.749</v>
      </c>
      <c r="N95" s="95">
        <f t="shared" ref="N95" si="182">M95*(1+N96)</f>
        <v>230.42151</v>
      </c>
      <c r="O95" s="95">
        <f t="shared" ref="O95" si="183">N95*(1+O96)</f>
        <v>228.1172949</v>
      </c>
      <c r="P95" s="95">
        <f t="shared" ref="P95" si="184">O95*(1+P96)</f>
        <v>225.836121951</v>
      </c>
      <c r="Q95" s="95">
        <f t="shared" ref="Q95" si="185">P95*(1+Q96)</f>
        <v>223.57776073149</v>
      </c>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row>
    <row r="96" ht="18.5" spans="1:50">
      <c r="A96" s="2"/>
      <c r="B96" s="2" t="s">
        <v>437</v>
      </c>
      <c r="C96" s="2"/>
      <c r="D96" s="110"/>
      <c r="E96" s="16">
        <v>0.828061700609322</v>
      </c>
      <c r="F96" s="16">
        <v>-0.240545556096067</v>
      </c>
      <c r="G96" s="16">
        <v>0.119235148984628</v>
      </c>
      <c r="H96" s="16">
        <v>0.295264742040783</v>
      </c>
      <c r="I96" s="16">
        <v>0.00924592524710444</v>
      </c>
      <c r="J96" s="16">
        <v>0.481015463276742</v>
      </c>
      <c r="K96" s="16">
        <v>0.004320915566975</v>
      </c>
      <c r="L96" s="16">
        <v>-0.145712209302326</v>
      </c>
      <c r="M96" s="112">
        <v>-0.01</v>
      </c>
      <c r="N96" s="112">
        <v>-0.01</v>
      </c>
      <c r="O96" s="112">
        <v>-0.01</v>
      </c>
      <c r="P96" s="112">
        <v>-0.01</v>
      </c>
      <c r="Q96" s="112">
        <v>-0.01</v>
      </c>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row>
    <row r="97" ht="18.5" spans="1:50">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row>
    <row r="98" ht="18.5" spans="1:50">
      <c r="A98" s="2"/>
      <c r="B98" s="8" t="s">
        <v>139</v>
      </c>
      <c r="C98" s="2"/>
      <c r="D98" s="96">
        <v>1821.7</v>
      </c>
      <c r="E98" s="96">
        <v>2378.7</v>
      </c>
      <c r="F98" s="96">
        <v>3161.4</v>
      </c>
      <c r="G98" s="96">
        <v>4717.8</v>
      </c>
      <c r="H98" s="96">
        <v>6110.8</v>
      </c>
      <c r="I98" s="96">
        <v>6167.3</v>
      </c>
      <c r="J98" s="96">
        <v>8563</v>
      </c>
      <c r="K98" s="96">
        <v>10125</v>
      </c>
      <c r="L98" s="96">
        <v>10542</v>
      </c>
      <c r="M98" s="96">
        <f>M89+M92+M95</f>
        <v>12269.78064</v>
      </c>
      <c r="N98" s="96">
        <f t="shared" ref="N98:Q98" si="186">N89+N92+N95</f>
        <v>13239.4842306</v>
      </c>
      <c r="O98" s="96">
        <f t="shared" si="186"/>
        <v>13866.1117269575</v>
      </c>
      <c r="P98" s="96">
        <f t="shared" si="186"/>
        <v>14532.6974087761</v>
      </c>
      <c r="Q98" s="96">
        <f t="shared" si="186"/>
        <v>15241.656763841</v>
      </c>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row>
    <row r="99" ht="18.5" spans="1:50">
      <c r="A99" s="2"/>
      <c r="B99" s="2" t="s">
        <v>437</v>
      </c>
      <c r="C99" s="2"/>
      <c r="D99" s="96"/>
      <c r="E99" s="16">
        <v>0.305758357578086</v>
      </c>
      <c r="F99" s="16">
        <v>0.329045276831883</v>
      </c>
      <c r="G99" s="16">
        <v>0.492313531979503</v>
      </c>
      <c r="H99" s="16">
        <v>0.295264742040782</v>
      </c>
      <c r="I99" s="16">
        <v>0.00924592524710355</v>
      </c>
      <c r="J99" s="16">
        <v>0.388451996821948</v>
      </c>
      <c r="K99" s="16">
        <v>0.182412705827397</v>
      </c>
      <c r="L99" s="16">
        <v>0.0411851851851854</v>
      </c>
      <c r="M99" s="112">
        <f t="shared" ref="M99" si="187">M98/L98-1</f>
        <v>0.163894957313603</v>
      </c>
      <c r="N99" s="112">
        <f t="shared" ref="N99" si="188">N98/M98-1</f>
        <v>0.0790318603935531</v>
      </c>
      <c r="O99" s="112">
        <f t="shared" ref="O99" si="189">O98/N98-1</f>
        <v>0.047330204518786</v>
      </c>
      <c r="P99" s="112">
        <f t="shared" ref="P99" si="190">P98/O98-1</f>
        <v>0.0480730066903072</v>
      </c>
      <c r="Q99" s="112">
        <f t="shared" ref="Q99" si="191">Q98/P98-1</f>
        <v>0.0487837415947796</v>
      </c>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row>
    <row r="100" ht="18.5" spans="1:50">
      <c r="A100" s="2"/>
      <c r="B100" s="11" t="s">
        <v>440</v>
      </c>
      <c r="C100" s="2"/>
      <c r="D100" s="2"/>
      <c r="E100" s="2"/>
      <c r="F100" s="2"/>
      <c r="G100" s="2"/>
      <c r="H100" s="2"/>
      <c r="I100" s="2"/>
      <c r="J100" s="2"/>
      <c r="K100" s="2"/>
      <c r="L100" s="2"/>
      <c r="M100" s="115">
        <v>11374.8</v>
      </c>
      <c r="N100" s="115">
        <v>12806.1</v>
      </c>
      <c r="O100" s="115">
        <v>13612.9</v>
      </c>
      <c r="P100" s="115">
        <f>O100*(1+P101)</f>
        <v>14470.5127</v>
      </c>
      <c r="Q100" s="115">
        <f>P100*(1+Q101)</f>
        <v>15382.1550001</v>
      </c>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row>
    <row r="101" ht="18.5" spans="1:50">
      <c r="A101" s="2"/>
      <c r="B101" s="11"/>
      <c r="C101" s="2"/>
      <c r="D101" s="2"/>
      <c r="E101" s="2"/>
      <c r="F101" s="2"/>
      <c r="G101" s="2"/>
      <c r="H101" s="2"/>
      <c r="I101" s="2"/>
      <c r="J101" s="2"/>
      <c r="K101" s="2"/>
      <c r="L101" s="2"/>
      <c r="M101" s="116">
        <f>M100/L98-1</f>
        <v>0.0789982925441091</v>
      </c>
      <c r="N101" s="116">
        <f>N100/M100-1</f>
        <v>0.125830783837958</v>
      </c>
      <c r="O101" s="116">
        <f>O100/N100-1</f>
        <v>0.0630012259782446</v>
      </c>
      <c r="P101" s="116">
        <v>0.063</v>
      </c>
      <c r="Q101" s="116">
        <v>0.063</v>
      </c>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row>
    <row r="102" ht="18.5" spans="1:50">
      <c r="A102" s="2"/>
      <c r="B102" s="11"/>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row>
    <row r="103" ht="18.5" spans="1:50">
      <c r="A103" s="2"/>
      <c r="B103" s="2" t="s">
        <v>160</v>
      </c>
      <c r="C103" s="2"/>
      <c r="D103" s="110">
        <v>-937.431</v>
      </c>
      <c r="E103" s="110">
        <v>-1215.1</v>
      </c>
      <c r="F103" s="110">
        <v>-1629.8</v>
      </c>
      <c r="G103" s="110">
        <v>-2474.5</v>
      </c>
      <c r="H103" s="110">
        <v>-3236</v>
      </c>
      <c r="I103" s="110">
        <v>-3205.7</v>
      </c>
      <c r="J103" s="110">
        <v>-4355</v>
      </c>
      <c r="K103" s="110">
        <v>-5247.4</v>
      </c>
      <c r="L103" s="110">
        <v>-5494</v>
      </c>
      <c r="M103" s="117">
        <f>-M104*M98</f>
        <v>-6380.2859328</v>
      </c>
      <c r="N103" s="117">
        <f t="shared" ref="N103" si="192">-N104*N98</f>
        <v>-6884.531799912</v>
      </c>
      <c r="O103" s="117">
        <f t="shared" ref="O103" si="193">-O104*O98</f>
        <v>-7210.37809801792</v>
      </c>
      <c r="P103" s="117">
        <f t="shared" ref="P103" si="194">-P104*P98</f>
        <v>-7557.00265256358</v>
      </c>
      <c r="Q103" s="117">
        <f t="shared" ref="Q103" si="195">-Q104*Q98</f>
        <v>-7925.66151719731</v>
      </c>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row>
    <row r="104" ht="18.5" spans="1:50">
      <c r="A104" s="2"/>
      <c r="B104" s="2" t="s">
        <v>387</v>
      </c>
      <c r="C104" s="2"/>
      <c r="D104" s="16">
        <v>0.514591315803919</v>
      </c>
      <c r="E104" s="16">
        <v>0.510825240677681</v>
      </c>
      <c r="F104" s="16">
        <v>0.515531093819194</v>
      </c>
      <c r="G104" s="16">
        <v>0.524502946288524</v>
      </c>
      <c r="H104" s="16">
        <v>0.529554231851803</v>
      </c>
      <c r="I104" s="16">
        <v>0.519789859419843</v>
      </c>
      <c r="J104" s="16">
        <v>0.508583440383043</v>
      </c>
      <c r="K104" s="16">
        <v>0.518261728395062</v>
      </c>
      <c r="L104" s="16">
        <v>0.521153481312844</v>
      </c>
      <c r="M104" s="112">
        <v>0.52</v>
      </c>
      <c r="N104" s="112">
        <v>0.52</v>
      </c>
      <c r="O104" s="112">
        <v>0.52</v>
      </c>
      <c r="P104" s="112">
        <v>0.52</v>
      </c>
      <c r="Q104" s="112">
        <v>0.52</v>
      </c>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row>
    <row r="105" ht="18.5" spans="1:50">
      <c r="A105" s="2"/>
      <c r="B105" s="2" t="s">
        <v>437</v>
      </c>
      <c r="C105" s="2"/>
      <c r="D105" s="39"/>
      <c r="E105" s="16">
        <v>0.296202067138808</v>
      </c>
      <c r="F105" s="16">
        <v>0.341288782816229</v>
      </c>
      <c r="G105" s="16">
        <v>0.51828445208001</v>
      </c>
      <c r="H105" s="16">
        <v>0.307738937159022</v>
      </c>
      <c r="I105" s="16">
        <v>-0.00936341161928311</v>
      </c>
      <c r="J105" s="16">
        <v>0.358517640452943</v>
      </c>
      <c r="K105" s="16">
        <v>0.204913892078071</v>
      </c>
      <c r="L105" s="16">
        <v>0.0469947021382018</v>
      </c>
      <c r="M105" s="16">
        <f>M103/L103-1</f>
        <v>0.161318881106662</v>
      </c>
      <c r="N105" s="16">
        <f t="shared" ref="N105:Q105" si="196">N103/M103-1</f>
        <v>0.0790318603935531</v>
      </c>
      <c r="O105" s="16">
        <f t="shared" si="196"/>
        <v>0.047330204518786</v>
      </c>
      <c r="P105" s="16">
        <f t="shared" si="196"/>
        <v>0.0480730066903072</v>
      </c>
      <c r="Q105" s="16">
        <f t="shared" si="196"/>
        <v>0.0487837415947796</v>
      </c>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row>
    <row r="106" ht="18.5" spans="1:50">
      <c r="A106" s="2"/>
      <c r="B106" s="2" t="s">
        <v>126</v>
      </c>
      <c r="C106" s="2"/>
      <c r="D106" s="2"/>
      <c r="E106" s="2"/>
      <c r="F106" s="110">
        <v>450.867156774213</v>
      </c>
      <c r="G106" s="110">
        <v>1769.95669263781</v>
      </c>
      <c r="H106" s="110">
        <v>-2105.45514920988</v>
      </c>
      <c r="I106" s="110">
        <v>-3171.02348778305</v>
      </c>
      <c r="J106" s="110">
        <v>3678.81052072226</v>
      </c>
      <c r="K106" s="110">
        <v>-1536.03748374872</v>
      </c>
      <c r="L106" s="110">
        <v>-1579.19189939869</v>
      </c>
      <c r="M106" s="110">
        <f t="shared" ref="M106" si="197">(M105-L105)*10000</f>
        <v>1143.2417896846</v>
      </c>
      <c r="N106" s="110">
        <f t="shared" ref="N106" si="198">(N105-M105)*10000</f>
        <v>-822.870207131088</v>
      </c>
      <c r="O106" s="110">
        <f t="shared" ref="O106" si="199">(O105-N105)*10000</f>
        <v>-317.016558747671</v>
      </c>
      <c r="P106" s="110">
        <f t="shared" ref="P106" si="200">(P105-O105)*10000</f>
        <v>7.42802171521229</v>
      </c>
      <c r="Q106" s="110">
        <f t="shared" ref="Q106" si="201">(Q105-P105)*10000</f>
        <v>7.10734904472377</v>
      </c>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row>
    <row r="107" ht="18.5" spans="1:50">
      <c r="A107" s="2"/>
      <c r="B107" s="2" t="s">
        <v>455</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row>
    <row r="108" ht="18.5" spans="1:50">
      <c r="A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row>
    <row r="109" ht="18.5" spans="1:50">
      <c r="A109" s="2"/>
      <c r="B109" s="8" t="s">
        <v>176</v>
      </c>
      <c r="C109" s="2"/>
      <c r="D109" s="96">
        <v>884.269</v>
      </c>
      <c r="E109" s="96">
        <v>1163.6</v>
      </c>
      <c r="F109" s="96">
        <v>1531.6</v>
      </c>
      <c r="G109" s="96">
        <v>2243.3</v>
      </c>
      <c r="H109" s="96">
        <v>2874.8</v>
      </c>
      <c r="I109" s="96">
        <v>2961.6</v>
      </c>
      <c r="J109" s="96">
        <v>4208</v>
      </c>
      <c r="K109" s="96">
        <v>4877.6</v>
      </c>
      <c r="L109" s="96">
        <v>5048</v>
      </c>
      <c r="M109" s="96">
        <f t="shared" ref="M109:Q109" si="202">M98+M103</f>
        <v>5889.4947072</v>
      </c>
      <c r="N109" s="96">
        <f t="shared" si="202"/>
        <v>6354.952430688</v>
      </c>
      <c r="O109" s="96">
        <f t="shared" si="202"/>
        <v>6655.73362893962</v>
      </c>
      <c r="P109" s="96">
        <f t="shared" si="202"/>
        <v>6975.69475621254</v>
      </c>
      <c r="Q109" s="96">
        <f t="shared" si="202"/>
        <v>7315.99524664367</v>
      </c>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row>
    <row r="110" ht="18.5" spans="1:50">
      <c r="A110" s="2"/>
      <c r="B110" s="2" t="s">
        <v>40</v>
      </c>
      <c r="C110" s="2"/>
      <c r="D110" s="16">
        <v>0.485408684196081</v>
      </c>
      <c r="E110" s="16">
        <v>0.489174759322319</v>
      </c>
      <c r="F110" s="16">
        <v>0.484468906180806</v>
      </c>
      <c r="G110" s="16">
        <v>0.475497053711476</v>
      </c>
      <c r="H110" s="16">
        <v>0.470445768148197</v>
      </c>
      <c r="I110" s="16">
        <v>0.480210140580157</v>
      </c>
      <c r="J110" s="16">
        <v>0.491416559616957</v>
      </c>
      <c r="K110" s="16">
        <v>0.481738271604938</v>
      </c>
      <c r="L110" s="16">
        <v>0.478846518687156</v>
      </c>
      <c r="M110" s="16">
        <f t="shared" ref="M110" si="203">M109/M98</f>
        <v>0.48</v>
      </c>
      <c r="N110" s="16">
        <f t="shared" ref="N110" si="204">N109/N98</f>
        <v>0.48</v>
      </c>
      <c r="O110" s="16">
        <f t="shared" ref="O110" si="205">O109/O98</f>
        <v>0.48</v>
      </c>
      <c r="P110" s="16">
        <f t="shared" ref="P110" si="206">P109/P98</f>
        <v>0.48</v>
      </c>
      <c r="Q110" s="16">
        <f t="shared" ref="Q110" si="207">Q109/Q98</f>
        <v>0.48</v>
      </c>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row>
    <row r="111" ht="18.5" spans="1:50">
      <c r="A111" s="2"/>
      <c r="B111" s="2" t="s">
        <v>18</v>
      </c>
      <c r="C111" s="2"/>
      <c r="D111" s="39"/>
      <c r="E111" s="16">
        <v>0.315889169472185</v>
      </c>
      <c r="F111" s="16">
        <v>0.316259883121348</v>
      </c>
      <c r="G111" s="16">
        <v>0.464677461478193</v>
      </c>
      <c r="H111" s="16">
        <v>0.281504925778986</v>
      </c>
      <c r="I111" s="16">
        <v>0.0301934047585919</v>
      </c>
      <c r="J111" s="16">
        <v>0.42085359265262</v>
      </c>
      <c r="K111" s="16">
        <v>0.159125475285171</v>
      </c>
      <c r="L111" s="16">
        <v>0.0349352140396919</v>
      </c>
      <c r="M111" s="16">
        <f t="shared" ref="M111" si="208">M109/L109-1</f>
        <v>0.166698634548336</v>
      </c>
      <c r="N111" s="16">
        <f t="shared" ref="N111" si="209">N109/M109-1</f>
        <v>0.0790318603935529</v>
      </c>
      <c r="O111" s="16">
        <f t="shared" ref="O111" si="210">O109/N109-1</f>
        <v>0.047330204518786</v>
      </c>
      <c r="P111" s="16">
        <f t="shared" ref="P111" si="211">P109/O109-1</f>
        <v>0.0480730066903072</v>
      </c>
      <c r="Q111" s="16">
        <f t="shared" ref="Q111" si="212">Q109/P109-1</f>
        <v>0.0487837415947796</v>
      </c>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row>
    <row r="112" ht="18.5" spans="1:50">
      <c r="A112" s="2"/>
      <c r="B112" s="2" t="s">
        <v>126</v>
      </c>
      <c r="C112" s="2"/>
      <c r="D112" s="2"/>
      <c r="E112" s="2"/>
      <c r="F112" s="110">
        <v>3.70713649162191</v>
      </c>
      <c r="G112" s="110">
        <v>1484.17578356845</v>
      </c>
      <c r="H112" s="110">
        <v>-1831.72535699206</v>
      </c>
      <c r="I112" s="110">
        <v>-2513.11521020394</v>
      </c>
      <c r="J112" s="110">
        <v>3906.60187894028</v>
      </c>
      <c r="K112" s="110">
        <v>-2617.28117367449</v>
      </c>
      <c r="L112" s="110">
        <v>-1241.90261245479</v>
      </c>
      <c r="M112" s="110">
        <f t="shared" ref="M112" si="213">(M111-L111)*10000</f>
        <v>1317.63420508644</v>
      </c>
      <c r="N112" s="110">
        <f t="shared" ref="N112" si="214">(N111-M111)*10000</f>
        <v>-876.667741547827</v>
      </c>
      <c r="O112" s="110">
        <f t="shared" ref="O112" si="215">(O111-N111)*10000</f>
        <v>-317.016558747669</v>
      </c>
      <c r="P112" s="110">
        <f t="shared" ref="P112" si="216">(P111-O111)*10000</f>
        <v>7.42802171521229</v>
      </c>
      <c r="Q112" s="110">
        <f t="shared" ref="Q112" si="217">(Q111-P111)*10000</f>
        <v>7.10734904472377</v>
      </c>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row>
    <row r="113" ht="18.5" spans="1:50">
      <c r="A113" s="2"/>
      <c r="B113" s="8" t="s">
        <v>438</v>
      </c>
      <c r="C113" s="2"/>
      <c r="D113" s="96"/>
      <c r="E113" s="96"/>
      <c r="F113" s="98">
        <v>1.03907734056988</v>
      </c>
      <c r="G113" s="98">
        <v>0.92698347107438</v>
      </c>
      <c r="H113" s="98">
        <v>1.17434640522876</v>
      </c>
      <c r="I113" s="98">
        <v>1.12352048558422</v>
      </c>
      <c r="J113" s="98">
        <v>1.23691945914168</v>
      </c>
      <c r="K113" s="98">
        <v>1.43882005899705</v>
      </c>
      <c r="L113" s="98">
        <v>1.52185709978897</v>
      </c>
      <c r="M113" s="98">
        <f>M109/M83</f>
        <v>1.64402648176063</v>
      </c>
      <c r="N113" s="98">
        <f>N109/N83</f>
        <v>1.68948281252423</v>
      </c>
      <c r="O113" s="98">
        <f>O109/O83</f>
        <v>1.71790910638055</v>
      </c>
      <c r="P113" s="98">
        <f>P109/P83</f>
        <v>1.7480525848009</v>
      </c>
      <c r="Q113" s="98">
        <f>Q109/Q83</f>
        <v>1.77993119455526</v>
      </c>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row>
    <row r="114" ht="18.5" spans="1:50">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row>
    <row r="115" ht="18.5" spans="1:50">
      <c r="A115" s="2"/>
      <c r="B115" s="2" t="s">
        <v>178</v>
      </c>
      <c r="C115" s="2"/>
      <c r="D115" s="39">
        <v>-752.057</v>
      </c>
      <c r="E115" s="39">
        <v>-925.6</v>
      </c>
      <c r="F115" s="39">
        <v>-1238.1</v>
      </c>
      <c r="G115" s="39">
        <v>-1901.8</v>
      </c>
      <c r="H115" s="39">
        <v>-2459.1</v>
      </c>
      <c r="I115" s="39">
        <v>-2604.9</v>
      </c>
      <c r="J115" s="39">
        <v>-3514</v>
      </c>
      <c r="K115" s="39">
        <v>-4105.1</v>
      </c>
      <c r="L115" s="39">
        <v>-4158.9</v>
      </c>
      <c r="M115" s="117">
        <f>-M116*M98</f>
        <v>-4785.2144496</v>
      </c>
      <c r="N115" s="117">
        <f t="shared" ref="N115" si="218">-N116*N98</f>
        <v>-5163.398849934</v>
      </c>
      <c r="O115" s="117">
        <f t="shared" ref="O115" si="219">-O116*O98</f>
        <v>-5407.78357351344</v>
      </c>
      <c r="P115" s="117">
        <f t="shared" ref="P115" si="220">-P116*P98</f>
        <v>-5667.75198942269</v>
      </c>
      <c r="Q115" s="117">
        <f t="shared" ref="Q115" si="221">-Q116*Q98</f>
        <v>-5944.24613789798</v>
      </c>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row>
    <row r="116" ht="18.5" spans="1:50">
      <c r="A116" s="2"/>
      <c r="B116" s="2" t="s">
        <v>40</v>
      </c>
      <c r="C116" s="2"/>
      <c r="D116" s="16">
        <v>0.412832519075589</v>
      </c>
      <c r="E116" s="16">
        <v>0.38912010762181</v>
      </c>
      <c r="F116" s="16">
        <v>0.391630290377681</v>
      </c>
      <c r="G116" s="16">
        <v>0.403111619822799</v>
      </c>
      <c r="H116" s="16">
        <v>0.402418668586764</v>
      </c>
      <c r="I116" s="16">
        <v>0.422372837384269</v>
      </c>
      <c r="J116" s="16">
        <v>0.410370197360738</v>
      </c>
      <c r="K116" s="16">
        <v>0.405441975308642</v>
      </c>
      <c r="L116" s="16">
        <v>0.394507683551508</v>
      </c>
      <c r="M116" s="112">
        <v>0.39</v>
      </c>
      <c r="N116" s="112">
        <v>0.39</v>
      </c>
      <c r="O116" s="112">
        <v>0.39</v>
      </c>
      <c r="P116" s="112">
        <v>0.39</v>
      </c>
      <c r="Q116" s="112">
        <v>0.39</v>
      </c>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row>
    <row r="117" ht="18.5" spans="1:50">
      <c r="A117" s="2"/>
      <c r="B117" s="2" t="s">
        <v>18</v>
      </c>
      <c r="C117" s="2"/>
      <c r="D117" s="39"/>
      <c r="E117" s="16">
        <v>0.230757775009075</v>
      </c>
      <c r="F117" s="16">
        <v>0.337618841832325</v>
      </c>
      <c r="G117" s="16">
        <v>0.536063322833374</v>
      </c>
      <c r="H117" s="16">
        <v>0.293038174361131</v>
      </c>
      <c r="I117" s="16">
        <v>0.0592899841405392</v>
      </c>
      <c r="J117" s="16">
        <v>0.34899612269185</v>
      </c>
      <c r="K117" s="16">
        <v>0.168212862834377</v>
      </c>
      <c r="L117" s="16">
        <v>0.013105649070668</v>
      </c>
      <c r="M117" s="16">
        <f t="shared" ref="M117" si="222">M115/L115-1</f>
        <v>0.150596179181995</v>
      </c>
      <c r="N117" s="16">
        <f t="shared" ref="N117" si="223">N115/M115-1</f>
        <v>0.0790318603935531</v>
      </c>
      <c r="O117" s="16">
        <f t="shared" ref="O117" si="224">O115/N115-1</f>
        <v>0.047330204518786</v>
      </c>
      <c r="P117" s="16">
        <f t="shared" ref="P117" si="225">P115/O115-1</f>
        <v>0.0480730066903072</v>
      </c>
      <c r="Q117" s="16">
        <f t="shared" ref="Q117" si="226">Q115/P115-1</f>
        <v>0.0487837415947796</v>
      </c>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row>
    <row r="118" ht="18.5" spans="1:50">
      <c r="A118" s="2"/>
      <c r="B118" s="2" t="s">
        <v>126</v>
      </c>
      <c r="C118" s="2"/>
      <c r="D118" s="2"/>
      <c r="E118" s="2"/>
      <c r="F118" s="110">
        <v>1068.6106682325</v>
      </c>
      <c r="G118" s="110">
        <v>1984.44481001049</v>
      </c>
      <c r="H118" s="110">
        <v>-2430.25148472243</v>
      </c>
      <c r="I118" s="110">
        <v>-2337.48190220592</v>
      </c>
      <c r="J118" s="110">
        <v>2897.06138551311</v>
      </c>
      <c r="K118" s="110">
        <v>-1807.83259857473</v>
      </c>
      <c r="L118" s="110">
        <v>-1551.07213763709</v>
      </c>
      <c r="M118" s="110">
        <f t="shared" ref="M118" si="227">(M117-L117)*10000</f>
        <v>1374.90530111327</v>
      </c>
      <c r="N118" s="110">
        <f t="shared" ref="N118" si="228">(N117-M117)*10000</f>
        <v>-715.643187884423</v>
      </c>
      <c r="O118" s="110">
        <f t="shared" ref="O118" si="229">(O117-N117)*10000</f>
        <v>-317.016558747671</v>
      </c>
      <c r="P118" s="110">
        <f t="shared" ref="P118" si="230">(P117-O117)*10000</f>
        <v>7.42802171521229</v>
      </c>
      <c r="Q118" s="110">
        <f t="shared" ref="Q118" si="231">(Q117-P117)*10000</f>
        <v>7.10734904472377</v>
      </c>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row>
    <row r="119" ht="18.5" spans="1:50">
      <c r="A119" s="2"/>
      <c r="B119" s="2"/>
      <c r="C119" s="2"/>
      <c r="D119" s="39"/>
      <c r="E119" s="39"/>
      <c r="F119" s="39"/>
      <c r="G119" s="39"/>
      <c r="H119" s="39"/>
      <c r="I119" s="39"/>
      <c r="J119" s="39"/>
      <c r="K119" s="39"/>
      <c r="L119" s="39"/>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row>
    <row r="120" ht="18.5" spans="1:50">
      <c r="A120" s="2"/>
      <c r="B120" s="2" t="s">
        <v>130</v>
      </c>
      <c r="C120" s="2"/>
      <c r="D120" s="111">
        <v>1.242</v>
      </c>
      <c r="E120" s="111">
        <v>1.8</v>
      </c>
      <c r="F120" s="111">
        <v>2.4</v>
      </c>
      <c r="G120" s="111">
        <v>4.7</v>
      </c>
      <c r="H120" s="111">
        <v>10.9</v>
      </c>
      <c r="I120" s="111">
        <v>28.3</v>
      </c>
      <c r="J120" s="111">
        <v>27.2</v>
      </c>
      <c r="K120" s="111">
        <v>33.5</v>
      </c>
      <c r="L120" s="111">
        <v>38.1</v>
      </c>
      <c r="M120" s="117">
        <f>L120*(1+M121)</f>
        <v>41.91</v>
      </c>
      <c r="N120" s="117">
        <f t="shared" ref="N120" si="232">M120*(1+N121)</f>
        <v>46.101</v>
      </c>
      <c r="O120" s="117">
        <f t="shared" ref="O120" si="233">N120*(1+O121)</f>
        <v>50.7111</v>
      </c>
      <c r="P120" s="117">
        <f t="shared" ref="P120" si="234">O120*(1+P121)</f>
        <v>55.78221</v>
      </c>
      <c r="Q120" s="117">
        <f t="shared" ref="Q120" si="235">P120*(1+Q121)</f>
        <v>61.360431</v>
      </c>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row>
    <row r="121" ht="18.5" spans="1:50">
      <c r="A121" s="2"/>
      <c r="B121" s="2" t="s">
        <v>18</v>
      </c>
      <c r="C121" s="2"/>
      <c r="D121" s="111"/>
      <c r="E121" s="16">
        <v>0.449275362318841</v>
      </c>
      <c r="F121" s="16">
        <v>0.333333333333333</v>
      </c>
      <c r="G121" s="16">
        <v>0.958333333333333</v>
      </c>
      <c r="H121" s="16">
        <v>1.31914893617021</v>
      </c>
      <c r="I121" s="16">
        <v>1.59633027522936</v>
      </c>
      <c r="J121" s="16">
        <v>-0.0388692579505301</v>
      </c>
      <c r="K121" s="16">
        <v>0.231617647058824</v>
      </c>
      <c r="L121" s="16">
        <v>0.137313432835821</v>
      </c>
      <c r="M121" s="16">
        <v>0.1</v>
      </c>
      <c r="N121" s="16">
        <v>0.1</v>
      </c>
      <c r="O121" s="16">
        <v>0.1</v>
      </c>
      <c r="P121" s="16">
        <v>0.1</v>
      </c>
      <c r="Q121" s="16">
        <v>0.1</v>
      </c>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row>
    <row r="122" ht="18.5" spans="1:50">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row>
    <row r="123" ht="18.5" spans="1:50">
      <c r="A123" s="2"/>
      <c r="B123" s="8" t="s">
        <v>132</v>
      </c>
      <c r="C123" s="2"/>
      <c r="D123" s="96">
        <v>133.454</v>
      </c>
      <c r="E123" s="96">
        <v>239.8</v>
      </c>
      <c r="F123" s="96">
        <v>295.9</v>
      </c>
      <c r="G123" s="96">
        <v>346.2</v>
      </c>
      <c r="H123" s="96">
        <v>426.6</v>
      </c>
      <c r="I123" s="96">
        <v>385</v>
      </c>
      <c r="J123" s="96">
        <v>721.2</v>
      </c>
      <c r="K123" s="96">
        <v>806</v>
      </c>
      <c r="L123" s="96">
        <v>927.200000000002</v>
      </c>
      <c r="M123" s="96">
        <f t="shared" ref="M123:Q123" si="236">M109+M115+M120</f>
        <v>1146.1902576</v>
      </c>
      <c r="N123" s="96">
        <f t="shared" si="236"/>
        <v>1237.654580754</v>
      </c>
      <c r="O123" s="96">
        <f t="shared" si="236"/>
        <v>1298.66115542618</v>
      </c>
      <c r="P123" s="96">
        <f t="shared" si="236"/>
        <v>1363.72497678985</v>
      </c>
      <c r="Q123" s="96">
        <f t="shared" si="236"/>
        <v>1433.10953974569</v>
      </c>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row>
    <row r="124" ht="18.5" spans="1:50">
      <c r="A124" s="2"/>
      <c r="B124" s="2" t="s">
        <v>40</v>
      </c>
      <c r="C124" s="2"/>
      <c r="D124" s="16">
        <v>0.0732579458747324</v>
      </c>
      <c r="E124" s="16">
        <v>0.100811367553706</v>
      </c>
      <c r="F124" s="16">
        <v>0.093597773138483</v>
      </c>
      <c r="G124" s="16">
        <v>0.0733816609436602</v>
      </c>
      <c r="H124" s="16">
        <v>0.0698108267329973</v>
      </c>
      <c r="I124" s="16">
        <v>0.0624260211113454</v>
      </c>
      <c r="J124" s="16">
        <v>0.0842228191054537</v>
      </c>
      <c r="K124" s="16">
        <v>0.0796049382716049</v>
      </c>
      <c r="L124" s="16">
        <v>0.0879529501043447</v>
      </c>
      <c r="M124" s="16">
        <f t="shared" ref="M124" si="237">M123/M98</f>
        <v>0.0934157089869539</v>
      </c>
      <c r="N124" s="16">
        <f t="shared" ref="N124" si="238">N123/N98</f>
        <v>0.0934820842864443</v>
      </c>
      <c r="O124" s="16">
        <f t="shared" ref="O124" si="239">O123/O98</f>
        <v>0.093657196840655</v>
      </c>
      <c r="P124" s="16">
        <f t="shared" ref="P124" si="240">P123/P98</f>
        <v>0.0938383934125205</v>
      </c>
      <c r="Q124" s="16">
        <f t="shared" ref="Q124" si="241">Q123/Q98</f>
        <v>0.0940258373450299</v>
      </c>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row>
    <row r="125" ht="18.5" spans="1:50">
      <c r="A125" s="2"/>
      <c r="B125" s="2" t="s">
        <v>18</v>
      </c>
      <c r="C125" s="2"/>
      <c r="D125" s="39"/>
      <c r="E125" s="16">
        <v>0.796873829184587</v>
      </c>
      <c r="F125" s="16">
        <v>0.233944954128442</v>
      </c>
      <c r="G125" s="16">
        <v>0.169989861439675</v>
      </c>
      <c r="H125" s="16">
        <v>0.232235701906413</v>
      </c>
      <c r="I125" s="16">
        <v>-0.0975152367557429</v>
      </c>
      <c r="J125" s="16">
        <v>0.873246753246752</v>
      </c>
      <c r="K125" s="16">
        <v>0.117581808097615</v>
      </c>
      <c r="L125" s="16">
        <v>0.150372208436727</v>
      </c>
      <c r="M125" s="16">
        <f t="shared" ref="M125" si="242">M123/L123-1</f>
        <v>0.236184488352025</v>
      </c>
      <c r="N125" s="16">
        <f t="shared" ref="N125" si="243">N123/M123-1</f>
        <v>0.079798552245171</v>
      </c>
      <c r="O125" s="16">
        <f t="shared" ref="O125" si="244">O123/N123-1</f>
        <v>0.0492920849006282</v>
      </c>
      <c r="P125" s="16">
        <f t="shared" ref="P125" si="245">P123/O123-1</f>
        <v>0.0501006910785136</v>
      </c>
      <c r="Q125" s="16">
        <f t="shared" ref="Q125" si="246">Q123/P123-1</f>
        <v>0.0508787065843472</v>
      </c>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row>
    <row r="126" ht="18.5" spans="1:50">
      <c r="A126" s="2"/>
      <c r="B126" s="2" t="s">
        <v>126</v>
      </c>
      <c r="C126" s="2"/>
      <c r="D126" s="2"/>
      <c r="E126" s="2"/>
      <c r="F126" s="110">
        <v>-5629.28875056146</v>
      </c>
      <c r="G126" s="110">
        <v>-639.550926887671</v>
      </c>
      <c r="H126" s="110">
        <v>622.458404667385</v>
      </c>
      <c r="I126" s="110">
        <v>-3297.50938662156</v>
      </c>
      <c r="J126" s="110">
        <v>9707.61990002495</v>
      </c>
      <c r="K126" s="110">
        <v>-7556.64945149137</v>
      </c>
      <c r="L126" s="110">
        <v>327.904003391124</v>
      </c>
      <c r="M126" s="110">
        <f t="shared" ref="M126" si="247">(M125-L125)*10000</f>
        <v>858.122799152978</v>
      </c>
      <c r="N126" s="110">
        <f t="shared" ref="N126" si="248">(N125-M125)*10000</f>
        <v>-1563.85936106854</v>
      </c>
      <c r="O126" s="110">
        <f t="shared" ref="O126" si="249">(O125-N125)*10000</f>
        <v>-305.064673445428</v>
      </c>
      <c r="P126" s="110">
        <f t="shared" ref="P126" si="250">(P125-O125)*10000</f>
        <v>8.08606177885363</v>
      </c>
      <c r="Q126" s="110">
        <f t="shared" ref="Q126" si="251">(Q125-P125)*10000</f>
        <v>7.78015505833674</v>
      </c>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row>
    <row r="127" ht="18.5" spans="1:50">
      <c r="A127" s="2"/>
      <c r="B127" s="8" t="s">
        <v>456</v>
      </c>
      <c r="C127" s="2"/>
      <c r="D127" s="96"/>
      <c r="E127" s="97">
        <v>0.190926391382406</v>
      </c>
      <c r="F127" s="97">
        <v>0.0716749712533541</v>
      </c>
      <c r="G127" s="97">
        <v>0.0323181701362116</v>
      </c>
      <c r="H127" s="97">
        <v>0.0577171572146448</v>
      </c>
      <c r="I127" s="97">
        <v>-0.736283185840707</v>
      </c>
      <c r="J127" s="97">
        <v>0.140334766456568</v>
      </c>
      <c r="K127" s="97">
        <v>0.0542893725992317</v>
      </c>
      <c r="L127" s="97">
        <v>0.290647482014392</v>
      </c>
      <c r="M127" s="97">
        <f t="shared" ref="M127:Q127" si="252">(M123-L123)/(M98-L98)</f>
        <v>0.126746562920162</v>
      </c>
      <c r="N127" s="97">
        <f t="shared" si="252"/>
        <v>0.0943219392406359</v>
      </c>
      <c r="O127" s="97">
        <f t="shared" si="252"/>
        <v>0.0973570024086025</v>
      </c>
      <c r="P127" s="97">
        <f t="shared" si="252"/>
        <v>0.097607589149178</v>
      </c>
      <c r="Q127" s="97">
        <f t="shared" si="252"/>
        <v>0.0978681816667602</v>
      </c>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row>
    <row r="128" ht="18.5" spans="1:50">
      <c r="A128" s="2"/>
      <c r="B128" s="8" t="s">
        <v>439</v>
      </c>
      <c r="C128" s="2"/>
      <c r="D128" s="96"/>
      <c r="E128" s="98">
        <v>0.186180124223602</v>
      </c>
      <c r="F128" s="98">
        <v>0.200746268656717</v>
      </c>
      <c r="G128" s="98">
        <v>0.143057851239669</v>
      </c>
      <c r="H128" s="98">
        <v>0.174264705882353</v>
      </c>
      <c r="I128" s="98">
        <v>0.146054628224583</v>
      </c>
      <c r="J128" s="98">
        <v>0.211992945326279</v>
      </c>
      <c r="K128" s="98">
        <v>0.237758112094395</v>
      </c>
      <c r="L128" s="98">
        <v>0.27952969550799</v>
      </c>
      <c r="M128" s="98">
        <f>M123/M83</f>
        <v>0.319953957056242</v>
      </c>
      <c r="N128" s="98">
        <f>N123/N83</f>
        <v>0.329034113918518</v>
      </c>
      <c r="O128" s="98">
        <f>O123/O83</f>
        <v>0.335196981938828</v>
      </c>
      <c r="P128" s="98">
        <f>P123/P83</f>
        <v>0.3417384294965</v>
      </c>
      <c r="Q128" s="98">
        <f>Q123/Q83</f>
        <v>0.348665668717911</v>
      </c>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row>
    <row r="129" ht="18.5" spans="1:50">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row>
    <row r="130" ht="18.5" spans="1:50">
      <c r="A130" s="2"/>
      <c r="B130" s="2" t="s">
        <v>192</v>
      </c>
      <c r="C130" s="2"/>
      <c r="D130" s="39">
        <v>-1.775</v>
      </c>
      <c r="E130" s="39">
        <v>-1.4</v>
      </c>
      <c r="F130" s="39">
        <v>-1.4</v>
      </c>
      <c r="G130" s="39">
        <v>-6.3</v>
      </c>
      <c r="H130" s="39">
        <v>-78.1</v>
      </c>
      <c r="I130" s="39">
        <v>-61</v>
      </c>
      <c r="J130" s="39">
        <v>-66.5</v>
      </c>
      <c r="K130" s="2">
        <v>-319.3</v>
      </c>
      <c r="L130" s="2">
        <v>-116</v>
      </c>
      <c r="M130" s="2">
        <v>-116</v>
      </c>
      <c r="N130" s="2">
        <v>-116</v>
      </c>
      <c r="O130" s="2">
        <v>-116</v>
      </c>
      <c r="P130" s="2">
        <v>-116</v>
      </c>
      <c r="Q130" s="2">
        <v>-116</v>
      </c>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row>
    <row r="131" ht="18.5" spans="1:50">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row>
    <row r="132" ht="18.5" spans="1:50">
      <c r="A132" s="2"/>
      <c r="B132" s="8" t="s">
        <v>193</v>
      </c>
      <c r="C132" s="2"/>
      <c r="D132" s="96">
        <v>131.679</v>
      </c>
      <c r="E132" s="96">
        <v>238.4</v>
      </c>
      <c r="F132" s="96">
        <v>294.5</v>
      </c>
      <c r="G132" s="96">
        <v>339.9</v>
      </c>
      <c r="H132" s="96">
        <v>348.5</v>
      </c>
      <c r="I132" s="96">
        <v>324</v>
      </c>
      <c r="J132" s="96">
        <v>654.7</v>
      </c>
      <c r="K132" s="96">
        <v>486.7</v>
      </c>
      <c r="L132" s="96">
        <v>811.200000000002</v>
      </c>
      <c r="M132" s="96">
        <f t="shared" ref="M132:Q132" si="253">M123+M130</f>
        <v>1030.1902576</v>
      </c>
      <c r="N132" s="96">
        <f t="shared" si="253"/>
        <v>1121.654580754</v>
      </c>
      <c r="O132" s="96">
        <f t="shared" si="253"/>
        <v>1182.66115542618</v>
      </c>
      <c r="P132" s="96">
        <f t="shared" si="253"/>
        <v>1247.72497678985</v>
      </c>
      <c r="Q132" s="96">
        <f t="shared" si="253"/>
        <v>1317.10953974569</v>
      </c>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row>
    <row r="133" ht="18.5" spans="1:50">
      <c r="A133" s="2"/>
      <c r="B133" s="2" t="s">
        <v>40</v>
      </c>
      <c r="C133" s="2"/>
      <c r="D133" s="16">
        <v>0.0722835812702421</v>
      </c>
      <c r="E133" s="16">
        <v>0.100222810778997</v>
      </c>
      <c r="F133" s="16">
        <v>0.0931549313595243</v>
      </c>
      <c r="G133" s="16">
        <v>0.0720462927635762</v>
      </c>
      <c r="H133" s="16">
        <v>0.0570301760816915</v>
      </c>
      <c r="I133" s="16">
        <v>0.0525351450391582</v>
      </c>
      <c r="J133" s="16">
        <v>0.0764568492350812</v>
      </c>
      <c r="K133" s="16">
        <v>0.0480691358024691</v>
      </c>
      <c r="L133" s="16">
        <v>0.0769493454752421</v>
      </c>
      <c r="M133" s="16">
        <f t="shared" ref="M133" si="254">M132/M98</f>
        <v>0.0839615872382866</v>
      </c>
      <c r="N133" s="16">
        <f t="shared" ref="N133" si="255">N132/N98</f>
        <v>0.0847204136669883</v>
      </c>
      <c r="O133" s="16">
        <f t="shared" ref="O133" si="256">O132/O98</f>
        <v>0.0852914774317684</v>
      </c>
      <c r="P133" s="16">
        <f t="shared" ref="P133" si="257">P132/P98</f>
        <v>0.0858563927737437</v>
      </c>
      <c r="Q133" s="16">
        <f t="shared" ref="Q133" si="258">Q132/Q98</f>
        <v>0.0864151161618055</v>
      </c>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row>
    <row r="134" ht="18.5" spans="1:50">
      <c r="A134" s="2"/>
      <c r="B134" s="2" t="s">
        <v>18</v>
      </c>
      <c r="C134" s="2"/>
      <c r="D134" s="96"/>
      <c r="E134" s="16">
        <v>0.810463323688667</v>
      </c>
      <c r="F134" s="16">
        <v>0.23531879194631</v>
      </c>
      <c r="G134" s="16">
        <v>0.15415959252971</v>
      </c>
      <c r="H134" s="16">
        <v>0.0253015592821426</v>
      </c>
      <c r="I134" s="16">
        <v>-0.0703012912482064</v>
      </c>
      <c r="J134" s="16">
        <v>1.02067901234568</v>
      </c>
      <c r="K134" s="16">
        <v>-0.256606079120208</v>
      </c>
      <c r="L134" s="16">
        <v>0.666735155126366</v>
      </c>
      <c r="M134" s="16">
        <f t="shared" ref="M134" si="259">M132/L132-1</f>
        <v>0.269958404339248</v>
      </c>
      <c r="N134" s="16">
        <f t="shared" ref="N134" si="260">N132/M132-1</f>
        <v>0.0887839139219595</v>
      </c>
      <c r="O134" s="16">
        <f t="shared" ref="O134" si="261">O132/N132-1</f>
        <v>0.0543898056665248</v>
      </c>
      <c r="P134" s="16">
        <f t="shared" ref="P134" si="262">P132/O132-1</f>
        <v>0.0550147614683651</v>
      </c>
      <c r="Q134" s="16">
        <f t="shared" ref="Q134" si="263">Q132/P132-1</f>
        <v>0.0556088595215505</v>
      </c>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row>
    <row r="135" ht="18.5" spans="1:50">
      <c r="A135" s="2"/>
      <c r="B135" s="2" t="s">
        <v>126</v>
      </c>
      <c r="C135" s="2"/>
      <c r="D135" s="96"/>
      <c r="E135" s="2"/>
      <c r="F135" s="110">
        <v>-5751.44531742357</v>
      </c>
      <c r="G135" s="110">
        <v>-811.591994165999</v>
      </c>
      <c r="H135" s="110">
        <v>-1288.58033247568</v>
      </c>
      <c r="I135" s="110">
        <v>-956.02850530349</v>
      </c>
      <c r="J135" s="110">
        <v>10909.8030359388</v>
      </c>
      <c r="K135" s="110">
        <v>-12772.8509146589</v>
      </c>
      <c r="L135" s="110">
        <v>9233.41234246574</v>
      </c>
      <c r="M135" s="110">
        <f t="shared" ref="M135" si="264">(M134-L134)*10000</f>
        <v>-3967.76750787118</v>
      </c>
      <c r="N135" s="110">
        <f t="shared" ref="N135" si="265">(N134-M134)*10000</f>
        <v>-1811.74490417288</v>
      </c>
      <c r="O135" s="110">
        <f t="shared" ref="O135" si="266">(O134-N134)*10000</f>
        <v>-343.941082554347</v>
      </c>
      <c r="P135" s="110">
        <f t="shared" ref="P135" si="267">(P134-O134)*10000</f>
        <v>6.24955801840299</v>
      </c>
      <c r="Q135" s="110">
        <f t="shared" ref="Q135" si="268">(Q134-P134)*10000</f>
        <v>5.94098053185332</v>
      </c>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row>
    <row r="136" ht="18.5" spans="1:50">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row>
    <row r="137" ht="18.5" spans="1:50">
      <c r="A137" s="2"/>
      <c r="B137" s="2" t="s">
        <v>380</v>
      </c>
      <c r="C137" s="2"/>
      <c r="D137" s="110">
        <v>-31.001</v>
      </c>
      <c r="E137" s="110">
        <v>-53.788</v>
      </c>
      <c r="F137" s="110">
        <v>-58.1</v>
      </c>
      <c r="G137" s="110">
        <v>-75.7</v>
      </c>
      <c r="H137" s="110">
        <v>-97.8</v>
      </c>
      <c r="I137" s="110">
        <v>-94.8</v>
      </c>
      <c r="J137" s="110">
        <v>-195.1</v>
      </c>
      <c r="K137" s="110">
        <v>-214.2</v>
      </c>
      <c r="L137" s="110">
        <v>-206.2</v>
      </c>
      <c r="M137" s="117">
        <f>-M132*M138</f>
        <v>-261.6683254304</v>
      </c>
      <c r="N137" s="117">
        <f t="shared" ref="N137" si="269">-N132*N138</f>
        <v>-284.900263511516</v>
      </c>
      <c r="O137" s="117">
        <f t="shared" ref="O137" si="270">-O132*O138</f>
        <v>-300.395933478249</v>
      </c>
      <c r="P137" s="117">
        <f t="shared" ref="P137" si="271">-P132*P138</f>
        <v>-316.922144104622</v>
      </c>
      <c r="Q137" s="117">
        <f t="shared" ref="Q137" si="272">-Q132*Q138</f>
        <v>-334.545823095404</v>
      </c>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row>
    <row r="138" ht="18.5" spans="1:50">
      <c r="A138" s="2"/>
      <c r="B138" s="2" t="s">
        <v>382</v>
      </c>
      <c r="C138" s="2"/>
      <c r="D138" s="16">
        <v>0.235428580107686</v>
      </c>
      <c r="E138" s="16">
        <v>0.225620805369128</v>
      </c>
      <c r="F138" s="16">
        <v>0.197283531409168</v>
      </c>
      <c r="G138" s="16">
        <v>0.222712562518388</v>
      </c>
      <c r="H138" s="16">
        <v>0.280631276901004</v>
      </c>
      <c r="I138" s="16">
        <v>0.292592592592592</v>
      </c>
      <c r="J138" s="16">
        <v>0.297999083549717</v>
      </c>
      <c r="K138" s="16">
        <v>0.440106841997123</v>
      </c>
      <c r="L138" s="16">
        <v>0.254191321499013</v>
      </c>
      <c r="M138" s="16">
        <v>0.254</v>
      </c>
      <c r="N138" s="16">
        <v>0.254</v>
      </c>
      <c r="O138" s="16">
        <v>0.254</v>
      </c>
      <c r="P138" s="16">
        <v>0.254</v>
      </c>
      <c r="Q138" s="16">
        <v>0.254</v>
      </c>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row>
    <row r="139" ht="18.5" spans="1:50">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row>
    <row r="140" ht="18.5" spans="1:50">
      <c r="A140" s="2"/>
      <c r="B140" s="8" t="s">
        <v>198</v>
      </c>
      <c r="C140" s="2"/>
      <c r="D140" s="96">
        <v>100.678</v>
      </c>
      <c r="E140" s="96">
        <v>184.612</v>
      </c>
      <c r="F140" s="96">
        <v>236.4</v>
      </c>
      <c r="G140" s="96">
        <v>264.2</v>
      </c>
      <c r="H140" s="96">
        <v>250.7</v>
      </c>
      <c r="I140" s="96">
        <v>229.2</v>
      </c>
      <c r="J140" s="96">
        <v>459.6</v>
      </c>
      <c r="K140" s="96">
        <v>272.5</v>
      </c>
      <c r="L140" s="96">
        <v>605.000000000002</v>
      </c>
      <c r="M140" s="96">
        <f t="shared" ref="M140:Q140" si="273">M132+M137</f>
        <v>768.5219321696</v>
      </c>
      <c r="N140" s="96">
        <f t="shared" si="273"/>
        <v>836.754317242484</v>
      </c>
      <c r="O140" s="96">
        <f t="shared" si="273"/>
        <v>882.265221947928</v>
      </c>
      <c r="P140" s="96">
        <f t="shared" si="273"/>
        <v>930.802832685228</v>
      </c>
      <c r="Q140" s="96">
        <f t="shared" si="273"/>
        <v>982.563716650282</v>
      </c>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row>
    <row r="141" ht="18.5" spans="1:50">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row>
    <row r="142" ht="18.5" spans="1:50">
      <c r="A142" s="2"/>
      <c r="B142" s="8" t="s">
        <v>199</v>
      </c>
      <c r="C142" s="2"/>
      <c r="D142" s="96">
        <v>97.634</v>
      </c>
      <c r="E142" s="96">
        <v>178.9</v>
      </c>
      <c r="F142" s="96">
        <v>231.9</v>
      </c>
      <c r="G142" s="96">
        <v>261.8</v>
      </c>
      <c r="H142" s="96">
        <v>246.1</v>
      </c>
      <c r="I142" s="96">
        <v>224.3</v>
      </c>
      <c r="J142" s="96">
        <v>369.7</v>
      </c>
      <c r="K142" s="96">
        <v>188.3</v>
      </c>
      <c r="L142" s="96">
        <v>538.8</v>
      </c>
      <c r="M142" s="117">
        <f>M143*M140</f>
        <v>691.66973895264</v>
      </c>
      <c r="N142" s="117">
        <f t="shared" ref="N142" si="274">N143*N140</f>
        <v>753.078885518236</v>
      </c>
      <c r="O142" s="117">
        <f t="shared" ref="O142" si="275">O143*O140</f>
        <v>794.038699753136</v>
      </c>
      <c r="P142" s="117">
        <f t="shared" ref="P142" si="276">P143*P140</f>
        <v>837.722549416705</v>
      </c>
      <c r="Q142" s="117">
        <f t="shared" ref="Q142" si="277">Q143*Q140</f>
        <v>884.307344985254</v>
      </c>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row>
    <row r="143" ht="18.5" spans="1:50">
      <c r="A143" s="2"/>
      <c r="B143" s="2" t="s">
        <v>457</v>
      </c>
      <c r="C143" s="2"/>
      <c r="D143" s="16">
        <v>0.96976499334512</v>
      </c>
      <c r="E143" s="16">
        <v>0.969059432756268</v>
      </c>
      <c r="F143" s="16">
        <v>0.980964467005075</v>
      </c>
      <c r="G143" s="16">
        <v>0.990915972747918</v>
      </c>
      <c r="H143" s="16">
        <v>0.981651376146788</v>
      </c>
      <c r="I143" s="16">
        <v>0.978621291448516</v>
      </c>
      <c r="J143" s="16">
        <v>0.804395126196693</v>
      </c>
      <c r="K143" s="16">
        <v>0.691009174311927</v>
      </c>
      <c r="L143" s="16">
        <v>0.890578512396691</v>
      </c>
      <c r="M143" s="16">
        <v>0.9</v>
      </c>
      <c r="N143" s="16">
        <v>0.9</v>
      </c>
      <c r="O143" s="16">
        <v>0.9</v>
      </c>
      <c r="P143" s="16">
        <v>0.9</v>
      </c>
      <c r="Q143" s="16">
        <v>0.9</v>
      </c>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row>
    <row r="144" ht="18.5" spans="1:50">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row>
    <row r="145" ht="18.5" spans="1:50">
      <c r="A145" s="2"/>
      <c r="B145" s="8" t="s">
        <v>36</v>
      </c>
      <c r="C145" s="2"/>
      <c r="D145" s="139">
        <v>194.646</v>
      </c>
      <c r="E145" s="139">
        <v>973.23316</v>
      </c>
      <c r="F145" s="139">
        <v>973.23316</v>
      </c>
      <c r="G145" s="139">
        <v>973.23316</v>
      </c>
      <c r="H145" s="139">
        <v>973.23316</v>
      </c>
      <c r="I145" s="139">
        <v>4866.1658</v>
      </c>
      <c r="J145" s="139">
        <v>5158.135745</v>
      </c>
      <c r="K145" s="139">
        <v>5158.497877</v>
      </c>
      <c r="L145" s="139">
        <v>5183.135745</v>
      </c>
      <c r="M145" s="139">
        <v>5183</v>
      </c>
      <c r="N145" s="139">
        <v>5183</v>
      </c>
      <c r="O145" s="139">
        <v>5183</v>
      </c>
      <c r="P145" s="139">
        <v>5183</v>
      </c>
      <c r="Q145" s="139">
        <v>5183</v>
      </c>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row>
    <row r="146" ht="18.5" spans="1:50">
      <c r="A146" s="2"/>
      <c r="B146" s="2" t="s">
        <v>18</v>
      </c>
      <c r="C146" s="2"/>
      <c r="D146" s="39"/>
      <c r="E146" s="16">
        <v>4.00001623460025</v>
      </c>
      <c r="F146" s="16">
        <v>0</v>
      </c>
      <c r="G146" s="16">
        <v>0</v>
      </c>
      <c r="H146" s="16">
        <v>0</v>
      </c>
      <c r="I146" s="16">
        <v>4</v>
      </c>
      <c r="J146" s="16">
        <v>0.0599999993834981</v>
      </c>
      <c r="K146" s="16">
        <v>7.02059848562975e-5</v>
      </c>
      <c r="L146" s="16">
        <v>0.00477617100703909</v>
      </c>
      <c r="M146" s="16">
        <f t="shared" ref="M146" si="278">M145/L145-1</f>
        <v>-2.61897443319947e-5</v>
      </c>
      <c r="N146" s="16">
        <f t="shared" ref="N146" si="279">N145/M145-1</f>
        <v>0</v>
      </c>
      <c r="O146" s="16">
        <f t="shared" ref="O146" si="280">O145/N145-1</f>
        <v>0</v>
      </c>
      <c r="P146" s="16">
        <f t="shared" ref="P146" si="281">P145/O145-1</f>
        <v>0</v>
      </c>
      <c r="Q146" s="16">
        <f t="shared" ref="Q146" si="282">Q145/P145-1</f>
        <v>0</v>
      </c>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row>
    <row r="147" ht="18.5" spans="1:50">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row>
    <row r="148" ht="18.5" spans="1:50">
      <c r="A148" s="2"/>
      <c r="B148" s="127" t="s">
        <v>65</v>
      </c>
      <c r="C148" s="128"/>
      <c r="D148" s="138">
        <v>0.501597772366244</v>
      </c>
      <c r="E148" s="138">
        <v>0.183820288244186</v>
      </c>
      <c r="F148" s="138">
        <v>0.238277947701659</v>
      </c>
      <c r="G148" s="138">
        <v>0.269000287659742</v>
      </c>
      <c r="H148" s="138">
        <v>0.252868490424227</v>
      </c>
      <c r="I148" s="138">
        <v>0.0460937849672118</v>
      </c>
      <c r="J148" s="138">
        <v>0.0716731816060417</v>
      </c>
      <c r="K148" s="138">
        <v>0.0365028743812353</v>
      </c>
      <c r="L148" s="138">
        <v>0.103952515717876</v>
      </c>
      <c r="M148" s="138">
        <f t="shared" ref="M148:Q148" si="283">M142/M145</f>
        <v>0.133449689167015</v>
      </c>
      <c r="N148" s="138">
        <f t="shared" si="283"/>
        <v>0.145297874882932</v>
      </c>
      <c r="O148" s="138">
        <f t="shared" si="283"/>
        <v>0.153200598061574</v>
      </c>
      <c r="P148" s="138">
        <f t="shared" si="283"/>
        <v>0.161628892420742</v>
      </c>
      <c r="Q148" s="138">
        <f t="shared" si="283"/>
        <v>0.170616890793991</v>
      </c>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row>
    <row r="149" ht="18.5" spans="1:50">
      <c r="A149" s="2"/>
      <c r="B149" s="2" t="s">
        <v>18</v>
      </c>
      <c r="C149" s="2"/>
      <c r="D149" s="2"/>
      <c r="E149" s="16">
        <v>-0.633530493213657</v>
      </c>
      <c r="F149" s="16">
        <v>0.296254891000559</v>
      </c>
      <c r="G149" s="16">
        <v>0.128934885726606</v>
      </c>
      <c r="H149" s="16">
        <v>-0.0599694423223835</v>
      </c>
      <c r="I149" s="16">
        <v>-0.817716375457131</v>
      </c>
      <c r="J149" s="16">
        <v>0.55494242134868</v>
      </c>
      <c r="K149" s="16">
        <v>-0.49070386491454</v>
      </c>
      <c r="L149" s="16">
        <v>1.84778986531851</v>
      </c>
      <c r="M149" s="16">
        <f t="shared" ref="M149" si="284">M148/L148-1</f>
        <v>0.283756225094091</v>
      </c>
      <c r="N149" s="16">
        <f t="shared" ref="N149" si="285">N148/M148-1</f>
        <v>0.0887839139219595</v>
      </c>
      <c r="O149" s="16">
        <f t="shared" ref="O149" si="286">O148/N148-1</f>
        <v>0.0543898056665246</v>
      </c>
      <c r="P149" s="16">
        <f t="shared" ref="P149" si="287">P148/O148-1</f>
        <v>0.0550147614683651</v>
      </c>
      <c r="Q149" s="16">
        <f t="shared" ref="Q149" si="288">Q148/P148-1</f>
        <v>0.0556088595215505</v>
      </c>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row>
    <row r="150" ht="18.5" spans="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row>
    <row r="151" ht="26" spans="1:50">
      <c r="A151" s="2"/>
      <c r="B151" s="107" t="s">
        <v>459</v>
      </c>
      <c r="C151" s="108"/>
      <c r="D151" s="108"/>
      <c r="E151" s="108"/>
      <c r="F151" s="108"/>
      <c r="G151" s="108"/>
      <c r="H151" s="108"/>
      <c r="I151" s="108"/>
      <c r="J151" s="108"/>
      <c r="K151" s="108"/>
      <c r="L151" s="108"/>
      <c r="M151" s="108"/>
      <c r="N151" s="108"/>
      <c r="O151" s="108"/>
      <c r="P151" s="108"/>
      <c r="Q151" s="108"/>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row>
    <row r="152" ht="18.5" spans="1:50">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row>
    <row r="153" ht="18.5" spans="1:50">
      <c r="A153" s="2"/>
      <c r="B153" s="8" t="s">
        <v>164</v>
      </c>
      <c r="C153" s="2"/>
      <c r="D153" s="98">
        <v>1.60738235294118</v>
      </c>
      <c r="E153" s="98">
        <v>1.45898524844721</v>
      </c>
      <c r="F153" s="98">
        <v>1.71582089552239</v>
      </c>
      <c r="G153" s="98">
        <v>1.5206132231405</v>
      </c>
      <c r="H153" s="98">
        <v>1.84721895424837</v>
      </c>
      <c r="I153" s="98">
        <v>1.33359673748103</v>
      </c>
      <c r="J153" s="98">
        <v>1.66628630217519</v>
      </c>
      <c r="K153" s="98">
        <v>2.15530973451327</v>
      </c>
      <c r="L153" s="98">
        <v>2.39873379559843</v>
      </c>
      <c r="M153" s="99">
        <f>L153*(1+M154)</f>
        <v>2.56664516129032</v>
      </c>
      <c r="N153" s="99">
        <f t="shared" ref="N153" si="289">M153*(1+N154)</f>
        <v>2.64364451612903</v>
      </c>
      <c r="O153" s="99">
        <f t="shared" ref="O153" si="290">N153*(1+O154)</f>
        <v>2.7229538516129</v>
      </c>
      <c r="P153" s="99">
        <f t="shared" ref="P153" si="291">O153*(1+P154)</f>
        <v>2.80464246716129</v>
      </c>
      <c r="Q153" s="99">
        <f t="shared" ref="Q153" si="292">P153*(1+Q154)</f>
        <v>2.88878174117613</v>
      </c>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row>
    <row r="154" ht="18.5" spans="1:50">
      <c r="A154" s="2"/>
      <c r="B154" s="2" t="s">
        <v>437</v>
      </c>
      <c r="C154" s="2"/>
      <c r="D154" s="98"/>
      <c r="E154" s="16">
        <v>-0.0923222183088148</v>
      </c>
      <c r="F154" s="16">
        <v>0.176037178819</v>
      </c>
      <c r="G154" s="16">
        <v>-0.113769259303991</v>
      </c>
      <c r="H154" s="16">
        <v>0.214785539240108</v>
      </c>
      <c r="I154" s="16">
        <v>-0.278051616775623</v>
      </c>
      <c r="J154" s="16">
        <v>0.24946789036284</v>
      </c>
      <c r="K154" s="16">
        <v>0.293481037262147</v>
      </c>
      <c r="L154" s="16">
        <v>0.11294156806661</v>
      </c>
      <c r="M154" s="112">
        <v>0.07</v>
      </c>
      <c r="N154" s="112">
        <v>0.03</v>
      </c>
      <c r="O154" s="112">
        <v>0.03</v>
      </c>
      <c r="P154" s="112">
        <v>0.03</v>
      </c>
      <c r="Q154" s="112">
        <v>0.03</v>
      </c>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row>
    <row r="155" ht="18.5" spans="1:50">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row>
    <row r="156" ht="18.5" spans="1:50">
      <c r="A156" s="2"/>
      <c r="B156" s="8" t="s">
        <v>436</v>
      </c>
      <c r="C156" s="2"/>
      <c r="D156" s="109">
        <v>918</v>
      </c>
      <c r="E156" s="109">
        <v>1288</v>
      </c>
      <c r="F156" s="109">
        <v>1474</v>
      </c>
      <c r="G156" s="109">
        <v>2420</v>
      </c>
      <c r="H156" s="109">
        <v>2448</v>
      </c>
      <c r="I156" s="109">
        <v>2636</v>
      </c>
      <c r="J156" s="109">
        <v>3402</v>
      </c>
      <c r="K156" s="109">
        <v>3390</v>
      </c>
      <c r="L156" s="109">
        <v>3317</v>
      </c>
      <c r="M156" s="110">
        <f>L156*(1+M157)</f>
        <v>3519.337</v>
      </c>
      <c r="N156" s="110">
        <f t="shared" ref="N156" si="293">M156*(1+N157)</f>
        <v>3695.30385</v>
      </c>
      <c r="O156" s="110">
        <f t="shared" ref="O156" si="294">N156*(1+O157)</f>
        <v>3806.1629655</v>
      </c>
      <c r="P156" s="110">
        <f t="shared" ref="P156" si="295">O156*(1+P157)</f>
        <v>3920.347854465</v>
      </c>
      <c r="Q156" s="110">
        <f t="shared" ref="Q156" si="296">P156*(1+Q157)</f>
        <v>4037.95829009895</v>
      </c>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row>
    <row r="157" ht="18.5" spans="1:50">
      <c r="A157" s="2"/>
      <c r="B157" s="2" t="s">
        <v>437</v>
      </c>
      <c r="C157" s="2"/>
      <c r="D157" s="109"/>
      <c r="E157" s="16">
        <v>0.403050108932462</v>
      </c>
      <c r="F157" s="16">
        <v>0.144409937888199</v>
      </c>
      <c r="G157" s="16">
        <v>0.641791044776119</v>
      </c>
      <c r="H157" s="16">
        <v>0.0115702479338844</v>
      </c>
      <c r="I157" s="16">
        <v>0.076797385620915</v>
      </c>
      <c r="J157" s="16">
        <v>0.290591805766313</v>
      </c>
      <c r="K157" s="16">
        <v>-0.00352733686067019</v>
      </c>
      <c r="L157" s="16">
        <v>-0.0215339233038349</v>
      </c>
      <c r="M157" s="112">
        <v>0.061</v>
      </c>
      <c r="N157" s="112">
        <v>0.05</v>
      </c>
      <c r="O157" s="112">
        <v>0.03</v>
      </c>
      <c r="P157" s="112">
        <v>0.03</v>
      </c>
      <c r="Q157" s="112">
        <v>0.03</v>
      </c>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row>
    <row r="158" ht="18.5" spans="1:50">
      <c r="A158" s="2"/>
      <c r="B158" s="2" t="s">
        <v>149</v>
      </c>
      <c r="C158" s="2"/>
      <c r="D158" s="109"/>
      <c r="E158" s="110">
        <v>370</v>
      </c>
      <c r="F158" s="110">
        <v>186</v>
      </c>
      <c r="G158" s="110">
        <v>946</v>
      </c>
      <c r="H158" s="110">
        <v>28</v>
      </c>
      <c r="I158" s="110">
        <v>188</v>
      </c>
      <c r="J158" s="110">
        <v>766</v>
      </c>
      <c r="K158" s="110">
        <v>-12</v>
      </c>
      <c r="L158" s="110">
        <v>-73</v>
      </c>
      <c r="M158" s="110">
        <f t="shared" ref="M158:Q158" si="297">M156-L156</f>
        <v>202.337</v>
      </c>
      <c r="N158" s="110">
        <f t="shared" si="297"/>
        <v>175.96685</v>
      </c>
      <c r="O158" s="110">
        <f t="shared" si="297"/>
        <v>110.8591155</v>
      </c>
      <c r="P158" s="110">
        <f t="shared" si="297"/>
        <v>114.184888965</v>
      </c>
      <c r="Q158" s="110">
        <f t="shared" si="297"/>
        <v>117.61043563395</v>
      </c>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row>
    <row r="159" ht="18.5" spans="1:50">
      <c r="A159" s="2"/>
      <c r="B159" s="11" t="s">
        <v>440</v>
      </c>
      <c r="C159" s="2"/>
      <c r="D159" s="109"/>
      <c r="E159" s="109"/>
      <c r="F159" s="109"/>
      <c r="G159" s="109"/>
      <c r="H159" s="109"/>
      <c r="I159" s="109"/>
      <c r="J159" s="109"/>
      <c r="K159" s="109"/>
      <c r="L159" s="109"/>
      <c r="M159" s="113">
        <v>4997</v>
      </c>
      <c r="N159" s="113">
        <v>5208</v>
      </c>
      <c r="O159" s="113">
        <v>5394</v>
      </c>
      <c r="P159" s="113">
        <f>O159*(1+P160)</f>
        <v>5588.184</v>
      </c>
      <c r="Q159" s="113">
        <f>P159*(1+Q160)</f>
        <v>5789.358624</v>
      </c>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row>
    <row r="160" ht="18.5" spans="1:50">
      <c r="A160" s="2"/>
      <c r="B160" s="2" t="s">
        <v>437</v>
      </c>
      <c r="C160" s="2"/>
      <c r="D160" s="109"/>
      <c r="E160" s="109"/>
      <c r="F160" s="109"/>
      <c r="G160" s="109"/>
      <c r="H160" s="109"/>
      <c r="I160" s="109"/>
      <c r="J160" s="109"/>
      <c r="K160" s="109"/>
      <c r="L160" s="109"/>
      <c r="M160" s="114">
        <f>M159/L156-1</f>
        <v>0.506481760627073</v>
      </c>
      <c r="N160" s="114">
        <f>N159/M159-1</f>
        <v>0.0422253352011206</v>
      </c>
      <c r="O160" s="114">
        <f>O159/N159-1</f>
        <v>0.0357142857142858</v>
      </c>
      <c r="P160" s="114">
        <v>0.036</v>
      </c>
      <c r="Q160" s="114">
        <v>0.036</v>
      </c>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row>
    <row r="161" ht="18.5" spans="1:50">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row>
    <row r="162" ht="18.5" spans="1:50">
      <c r="A162" s="2"/>
      <c r="B162" s="8" t="s">
        <v>448</v>
      </c>
      <c r="C162" s="2"/>
      <c r="D162" s="96">
        <v>1475.577</v>
      </c>
      <c r="E162" s="96">
        <v>1879.173</v>
      </c>
      <c r="F162" s="96">
        <v>2529.12</v>
      </c>
      <c r="G162" s="96">
        <v>3679.884</v>
      </c>
      <c r="H162" s="96">
        <v>4521.992</v>
      </c>
      <c r="I162" s="96">
        <v>3515.361</v>
      </c>
      <c r="J162" s="96">
        <v>5668.706</v>
      </c>
      <c r="K162" s="96">
        <v>7306.5</v>
      </c>
      <c r="L162" s="96">
        <v>7956.6</v>
      </c>
      <c r="M162" s="96">
        <f>M153*M156</f>
        <v>9032.889282</v>
      </c>
      <c r="N162" s="96">
        <f>N153*N156</f>
        <v>9769.069758483</v>
      </c>
      <c r="O162" s="96">
        <f>O153*O156</f>
        <v>10364.0061067746</v>
      </c>
      <c r="P162" s="96">
        <f>P153*P156</f>
        <v>10995.1740786772</v>
      </c>
      <c r="Q162" s="96">
        <f>Q153*Q156</f>
        <v>11664.7801800686</v>
      </c>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row>
    <row r="163" ht="18.5" spans="1:50">
      <c r="A163" s="2"/>
      <c r="B163" s="2" t="s">
        <v>437</v>
      </c>
      <c r="C163" s="2"/>
      <c r="D163" s="96"/>
      <c r="E163" s="16">
        <v>0.273517410477393</v>
      </c>
      <c r="F163" s="16">
        <v>0.345868634766464</v>
      </c>
      <c r="G163" s="16">
        <v>0.455005693680015</v>
      </c>
      <c r="H163" s="16">
        <v>0.228840909115613</v>
      </c>
      <c r="I163" s="16">
        <v>-0.222607868390745</v>
      </c>
      <c r="J163" s="16">
        <v>0.612553020870403</v>
      </c>
      <c r="K163" s="16">
        <v>0.288918493920835</v>
      </c>
      <c r="L163" s="16">
        <v>0.0889755696982142</v>
      </c>
      <c r="M163" s="16">
        <f t="shared" ref="M163" si="298">M162/L162-1</f>
        <v>0.13527</v>
      </c>
      <c r="N163" s="16">
        <f t="shared" ref="N163" si="299">N162/M162-1</f>
        <v>0.0815000000000001</v>
      </c>
      <c r="O163" s="16">
        <f t="shared" ref="O163" si="300">O162/N162-1</f>
        <v>0.0609000000000002</v>
      </c>
      <c r="P163" s="16">
        <f t="shared" ref="P163" si="301">P162/O162-1</f>
        <v>0.0609</v>
      </c>
      <c r="Q163" s="16">
        <f t="shared" ref="Q163" si="302">Q162/P162-1</f>
        <v>0.0609</v>
      </c>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row>
    <row r="164" ht="18.5" spans="1:50">
      <c r="A164" s="2"/>
      <c r="B164" s="8"/>
      <c r="C164" s="2"/>
      <c r="D164" s="96"/>
      <c r="E164" s="96"/>
      <c r="F164" s="96"/>
      <c r="G164" s="96"/>
      <c r="H164" s="96"/>
      <c r="I164" s="96"/>
      <c r="J164" s="96"/>
      <c r="K164" s="96"/>
      <c r="L164" s="96"/>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row>
    <row r="165" ht="18.5" spans="1:50">
      <c r="A165" s="2"/>
      <c r="B165" s="8" t="s">
        <v>450</v>
      </c>
      <c r="C165" s="2"/>
      <c r="D165" s="95">
        <v>255.038</v>
      </c>
      <c r="E165" s="95">
        <v>333.018</v>
      </c>
      <c r="F165" s="95">
        <v>505.824</v>
      </c>
      <c r="G165" s="95">
        <v>896.382</v>
      </c>
      <c r="H165" s="95">
        <v>1405.484</v>
      </c>
      <c r="I165" s="95">
        <v>2466.92</v>
      </c>
      <c r="J165" s="95">
        <v>2620.278</v>
      </c>
      <c r="K165" s="95">
        <v>2543.3</v>
      </c>
      <c r="L165" s="95">
        <v>2350.3</v>
      </c>
      <c r="M165" s="95">
        <f>L165*(1+M166)</f>
        <v>2115.27</v>
      </c>
      <c r="N165" s="95">
        <f t="shared" ref="N165" si="303">M165*(1+N166)</f>
        <v>1903.743</v>
      </c>
      <c r="O165" s="95">
        <f t="shared" ref="O165" si="304">N165*(1+O166)</f>
        <v>1713.3687</v>
      </c>
      <c r="P165" s="95">
        <f t="shared" ref="P165" si="305">O165*(1+P166)</f>
        <v>1542.03183</v>
      </c>
      <c r="Q165" s="95">
        <f t="shared" ref="Q165" si="306">P165*(1+Q166)</f>
        <v>1387.828647</v>
      </c>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row>
    <row r="166" ht="18.5" spans="1:50">
      <c r="A166" s="2"/>
      <c r="B166" s="2" t="s">
        <v>437</v>
      </c>
      <c r="C166" s="2"/>
      <c r="D166" s="109"/>
      <c r="E166" s="16">
        <v>0.305758357578086</v>
      </c>
      <c r="F166" s="16">
        <v>0.518908887807866</v>
      </c>
      <c r="G166" s="16">
        <v>0.77212231922566</v>
      </c>
      <c r="H166" s="16">
        <v>0.567952056154631</v>
      </c>
      <c r="I166" s="16">
        <v>0.755210304777571</v>
      </c>
      <c r="J166" s="16">
        <v>0.06216577756879</v>
      </c>
      <c r="K166" s="16">
        <v>-0.0293777988442446</v>
      </c>
      <c r="L166" s="16">
        <v>-0.0758856603625211</v>
      </c>
      <c r="M166" s="112">
        <v>-0.1</v>
      </c>
      <c r="N166" s="112">
        <v>-0.1</v>
      </c>
      <c r="O166" s="112">
        <v>-0.1</v>
      </c>
      <c r="P166" s="112">
        <v>-0.1</v>
      </c>
      <c r="Q166" s="112">
        <v>-0.1</v>
      </c>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row>
    <row r="167" ht="18.5" spans="1:50">
      <c r="A167" s="2"/>
      <c r="B167" s="2"/>
      <c r="C167" s="2"/>
      <c r="D167" s="110"/>
      <c r="E167" s="110"/>
      <c r="F167" s="110"/>
      <c r="G167" s="110"/>
      <c r="H167" s="110"/>
      <c r="I167" s="110"/>
      <c r="J167" s="110"/>
      <c r="K167" s="110"/>
      <c r="L167" s="110"/>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row>
    <row r="168" ht="18.5" spans="1:50">
      <c r="A168" s="2"/>
      <c r="B168" s="2" t="s">
        <v>130</v>
      </c>
      <c r="C168" s="2"/>
      <c r="D168" s="95">
        <v>91.0849999999999</v>
      </c>
      <c r="E168" s="95">
        <v>166.509</v>
      </c>
      <c r="F168" s="95">
        <v>126.456</v>
      </c>
      <c r="G168" s="95">
        <v>141.534</v>
      </c>
      <c r="H168" s="95">
        <v>183.324</v>
      </c>
      <c r="I168" s="95">
        <v>185.019</v>
      </c>
      <c r="J168" s="95">
        <v>274.016</v>
      </c>
      <c r="K168" s="95">
        <v>275.2</v>
      </c>
      <c r="L168" s="95">
        <v>235.1</v>
      </c>
      <c r="M168" s="95">
        <f>L168*(1+M169)</f>
        <v>199.835</v>
      </c>
      <c r="N168" s="95">
        <f t="shared" ref="N168" si="307">M168*(1+N169)</f>
        <v>169.85975</v>
      </c>
      <c r="O168" s="95">
        <f t="shared" ref="O168" si="308">N168*(1+O169)</f>
        <v>144.3807875</v>
      </c>
      <c r="P168" s="95">
        <f t="shared" ref="P168" si="309">O168*(1+P169)</f>
        <v>122.723669375</v>
      </c>
      <c r="Q168" s="95">
        <f t="shared" ref="Q168" si="310">P168*(1+Q169)</f>
        <v>104.31511896875</v>
      </c>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row>
    <row r="169" ht="18.5" spans="1:50">
      <c r="A169" s="2"/>
      <c r="B169" s="2" t="s">
        <v>437</v>
      </c>
      <c r="C169" s="2"/>
      <c r="D169" s="110"/>
      <c r="E169" s="16">
        <v>0.828061700609322</v>
      </c>
      <c r="F169" s="16">
        <v>-0.240545556096067</v>
      </c>
      <c r="G169" s="16">
        <v>0.119235148984628</v>
      </c>
      <c r="H169" s="16">
        <v>0.295264742040783</v>
      </c>
      <c r="I169" s="16">
        <v>0.00924592524710444</v>
      </c>
      <c r="J169" s="16">
        <v>0.481015463276742</v>
      </c>
      <c r="K169" s="16">
        <v>0.004320915566975</v>
      </c>
      <c r="L169" s="16">
        <v>-0.145712209302326</v>
      </c>
      <c r="M169" s="112">
        <v>-0.15</v>
      </c>
      <c r="N169" s="112">
        <v>-0.15</v>
      </c>
      <c r="O169" s="112">
        <v>-0.15</v>
      </c>
      <c r="P169" s="112">
        <v>-0.15</v>
      </c>
      <c r="Q169" s="112">
        <v>-0.15</v>
      </c>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row>
    <row r="170" ht="18.5" spans="1:5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row>
    <row r="171" ht="18.5" spans="1:50">
      <c r="A171" s="2"/>
      <c r="B171" s="8" t="s">
        <v>139</v>
      </c>
      <c r="C171" s="2"/>
      <c r="D171" s="96">
        <v>1821.7</v>
      </c>
      <c r="E171" s="96">
        <v>2378.7</v>
      </c>
      <c r="F171" s="96">
        <v>3161.4</v>
      </c>
      <c r="G171" s="96">
        <v>4717.8</v>
      </c>
      <c r="H171" s="96">
        <v>6110.8</v>
      </c>
      <c r="I171" s="96">
        <v>6167.3</v>
      </c>
      <c r="J171" s="96">
        <v>8563</v>
      </c>
      <c r="K171" s="96">
        <v>10125</v>
      </c>
      <c r="L171" s="96">
        <v>10542</v>
      </c>
      <c r="M171" s="96">
        <f>M162+M165+M168</f>
        <v>11347.994282</v>
      </c>
      <c r="N171" s="96">
        <f t="shared" ref="N171:Q171" si="311">N162+N165+N168</f>
        <v>11842.672508483</v>
      </c>
      <c r="O171" s="96">
        <f t="shared" si="311"/>
        <v>12221.7555942746</v>
      </c>
      <c r="P171" s="96">
        <f t="shared" si="311"/>
        <v>12659.9295780522</v>
      </c>
      <c r="Q171" s="96">
        <f t="shared" si="311"/>
        <v>13156.9239460374</v>
      </c>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row>
    <row r="172" ht="18.5" spans="1:50">
      <c r="A172" s="2"/>
      <c r="B172" s="2" t="s">
        <v>437</v>
      </c>
      <c r="C172" s="2"/>
      <c r="D172" s="96"/>
      <c r="E172" s="16">
        <v>0.305758357578086</v>
      </c>
      <c r="F172" s="16">
        <v>0.329045276831883</v>
      </c>
      <c r="G172" s="16">
        <v>0.492313531979503</v>
      </c>
      <c r="H172" s="16">
        <v>0.295264742040782</v>
      </c>
      <c r="I172" s="16">
        <v>0.00924592524710355</v>
      </c>
      <c r="J172" s="16">
        <v>0.388451996821948</v>
      </c>
      <c r="K172" s="16">
        <v>0.182412705827397</v>
      </c>
      <c r="L172" s="16">
        <v>0.0411851851851854</v>
      </c>
      <c r="M172" s="112">
        <f t="shared" ref="M172" si="312">M171/L171-1</f>
        <v>0.0764555380383227</v>
      </c>
      <c r="N172" s="112">
        <f t="shared" ref="N172" si="313">N171/M171-1</f>
        <v>0.0435916880278704</v>
      </c>
      <c r="O172" s="112">
        <f t="shared" ref="O172" si="314">O171/N171-1</f>
        <v>0.032009927279512</v>
      </c>
      <c r="P172" s="112">
        <f t="shared" ref="P172" si="315">P171/O171-1</f>
        <v>0.0358519674524369</v>
      </c>
      <c r="Q172" s="112">
        <f t="shared" ref="Q172" si="316">Q171/P171-1</f>
        <v>0.0392572774533282</v>
      </c>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row>
    <row r="173" ht="18.5" spans="1:50">
      <c r="A173" s="2"/>
      <c r="B173" s="11" t="s">
        <v>440</v>
      </c>
      <c r="C173" s="2"/>
      <c r="D173" s="2"/>
      <c r="E173" s="2"/>
      <c r="F173" s="2"/>
      <c r="G173" s="2"/>
      <c r="H173" s="2"/>
      <c r="I173" s="2"/>
      <c r="J173" s="2"/>
      <c r="K173" s="2"/>
      <c r="L173" s="2"/>
      <c r="M173" s="115">
        <v>11374.8</v>
      </c>
      <c r="N173" s="115">
        <v>12806.1</v>
      </c>
      <c r="O173" s="115">
        <v>13612.9</v>
      </c>
      <c r="P173" s="115">
        <f>O173*(1+P174)</f>
        <v>14470.5127</v>
      </c>
      <c r="Q173" s="115">
        <f>P173*(1+Q174)</f>
        <v>15382.1550001</v>
      </c>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row>
    <row r="174" ht="18.5" spans="1:50">
      <c r="A174" s="2"/>
      <c r="B174" s="11"/>
      <c r="C174" s="2"/>
      <c r="D174" s="2"/>
      <c r="E174" s="2"/>
      <c r="F174" s="2"/>
      <c r="G174" s="2"/>
      <c r="H174" s="2"/>
      <c r="I174" s="2"/>
      <c r="J174" s="2"/>
      <c r="K174" s="2"/>
      <c r="L174" s="2"/>
      <c r="M174" s="116">
        <f>M173/L171-1</f>
        <v>0.0789982925441091</v>
      </c>
      <c r="N174" s="116">
        <f>N173/M173-1</f>
        <v>0.125830783837958</v>
      </c>
      <c r="O174" s="116">
        <f>O173/N173-1</f>
        <v>0.0630012259782446</v>
      </c>
      <c r="P174" s="116">
        <v>0.063</v>
      </c>
      <c r="Q174" s="116">
        <v>0.063</v>
      </c>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row>
    <row r="175" ht="18.5" spans="1:50">
      <c r="A175" s="2"/>
      <c r="B175" s="1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row>
    <row r="176" ht="18.5" spans="1:50">
      <c r="A176" s="2"/>
      <c r="B176" s="2" t="s">
        <v>160</v>
      </c>
      <c r="C176" s="2"/>
      <c r="D176" s="110">
        <v>-937.431</v>
      </c>
      <c r="E176" s="110">
        <v>-1215.1</v>
      </c>
      <c r="F176" s="110">
        <v>-1629.8</v>
      </c>
      <c r="G176" s="110">
        <v>-2474.5</v>
      </c>
      <c r="H176" s="110">
        <v>-3236</v>
      </c>
      <c r="I176" s="110">
        <v>-3205.7</v>
      </c>
      <c r="J176" s="110">
        <v>-4355</v>
      </c>
      <c r="K176" s="110">
        <v>-5247.4</v>
      </c>
      <c r="L176" s="110">
        <v>-5494</v>
      </c>
      <c r="M176" s="117">
        <f>-M177*M171</f>
        <v>-6127.91691228</v>
      </c>
      <c r="N176" s="117">
        <f t="shared" ref="N176" si="317">-N177*N171</f>
        <v>-6395.04315458082</v>
      </c>
      <c r="O176" s="117">
        <f t="shared" ref="O176" si="318">-O177*O171</f>
        <v>-6599.74802090829</v>
      </c>
      <c r="P176" s="117">
        <f t="shared" ref="P176" si="319">-P177*P171</f>
        <v>-6836.36197214818</v>
      </c>
      <c r="Q176" s="117">
        <f t="shared" ref="Q176" si="320">-Q177*Q171</f>
        <v>-7104.73893086019</v>
      </c>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row>
    <row r="177" ht="18.5" spans="1:50">
      <c r="A177" s="2"/>
      <c r="B177" s="2" t="s">
        <v>387</v>
      </c>
      <c r="C177" s="2"/>
      <c r="D177" s="16">
        <v>0.514591315803919</v>
      </c>
      <c r="E177" s="16">
        <v>0.510825240677681</v>
      </c>
      <c r="F177" s="16">
        <v>0.515531093819194</v>
      </c>
      <c r="G177" s="16">
        <v>0.524502946288524</v>
      </c>
      <c r="H177" s="16">
        <v>0.529554231851803</v>
      </c>
      <c r="I177" s="16">
        <v>0.519789859419843</v>
      </c>
      <c r="J177" s="16">
        <v>0.508583440383043</v>
      </c>
      <c r="K177" s="16">
        <v>0.518261728395062</v>
      </c>
      <c r="L177" s="16">
        <v>0.521153481312844</v>
      </c>
      <c r="M177" s="112">
        <v>0.54</v>
      </c>
      <c r="N177" s="112">
        <v>0.54</v>
      </c>
      <c r="O177" s="112">
        <v>0.54</v>
      </c>
      <c r="P177" s="112">
        <v>0.54</v>
      </c>
      <c r="Q177" s="112">
        <v>0.54</v>
      </c>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row>
    <row r="178" ht="18.5" spans="1:50">
      <c r="A178" s="2"/>
      <c r="B178" s="2" t="s">
        <v>437</v>
      </c>
      <c r="C178" s="2"/>
      <c r="D178" s="39"/>
      <c r="E178" s="16">
        <v>0.296202067138808</v>
      </c>
      <c r="F178" s="16">
        <v>0.341288782816229</v>
      </c>
      <c r="G178" s="16">
        <v>0.51828445208001</v>
      </c>
      <c r="H178" s="16">
        <v>0.307738937159022</v>
      </c>
      <c r="I178" s="16">
        <v>-0.00936341161928311</v>
      </c>
      <c r="J178" s="16">
        <v>0.358517640452943</v>
      </c>
      <c r="K178" s="16">
        <v>0.204913892078071</v>
      </c>
      <c r="L178" s="16">
        <v>0.0469947021382018</v>
      </c>
      <c r="M178" s="16">
        <f>M176/L176-1</f>
        <v>0.115383493316345</v>
      </c>
      <c r="N178" s="16">
        <f t="shared" ref="N178:Q178" si="321">N176/M176-1</f>
        <v>0.0435916880278704</v>
      </c>
      <c r="O178" s="16">
        <f t="shared" si="321"/>
        <v>0.032009927279512</v>
      </c>
      <c r="P178" s="16">
        <f t="shared" si="321"/>
        <v>0.0358519674524369</v>
      </c>
      <c r="Q178" s="16">
        <f t="shared" si="321"/>
        <v>0.0392572774533282</v>
      </c>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row>
    <row r="179" ht="18.5" spans="1:50">
      <c r="A179" s="2"/>
      <c r="B179" s="2" t="s">
        <v>126</v>
      </c>
      <c r="C179" s="2"/>
      <c r="D179" s="2"/>
      <c r="E179" s="2"/>
      <c r="F179" s="110">
        <v>450.867156774213</v>
      </c>
      <c r="G179" s="110">
        <v>1769.95669263781</v>
      </c>
      <c r="H179" s="110">
        <v>-2105.45514920988</v>
      </c>
      <c r="I179" s="110">
        <v>-3171.02348778305</v>
      </c>
      <c r="J179" s="110">
        <v>3678.81052072226</v>
      </c>
      <c r="K179" s="110">
        <v>-1536.03748374872</v>
      </c>
      <c r="L179" s="110">
        <v>-1579.19189939869</v>
      </c>
      <c r="M179" s="110">
        <f t="shared" ref="M179" si="322">(M178-L178)*10000</f>
        <v>683.887911781433</v>
      </c>
      <c r="N179" s="110">
        <f t="shared" ref="N179" si="323">(N178-M178)*10000</f>
        <v>-717.918052884747</v>
      </c>
      <c r="O179" s="110">
        <f t="shared" ref="O179" si="324">(O178-N178)*10000</f>
        <v>-115.817607483584</v>
      </c>
      <c r="P179" s="110">
        <f t="shared" ref="P179" si="325">(P178-O178)*10000</f>
        <v>38.4204017292489</v>
      </c>
      <c r="Q179" s="110">
        <f t="shared" ref="Q179" si="326">(Q178-P178)*10000</f>
        <v>34.0531000089128</v>
      </c>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row>
    <row r="180" ht="18.5" spans="1:50">
      <c r="A180" s="2"/>
      <c r="B180" s="2" t="s">
        <v>455</v>
      </c>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row>
    <row r="181" ht="18.5" spans="1:50">
      <c r="A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row>
    <row r="182" ht="18.5" spans="1:50">
      <c r="A182" s="2"/>
      <c r="B182" s="8" t="s">
        <v>176</v>
      </c>
      <c r="C182" s="2"/>
      <c r="D182" s="96">
        <v>884.269</v>
      </c>
      <c r="E182" s="96">
        <v>1163.6</v>
      </c>
      <c r="F182" s="96">
        <v>1531.6</v>
      </c>
      <c r="G182" s="96">
        <v>2243.3</v>
      </c>
      <c r="H182" s="96">
        <v>2874.8</v>
      </c>
      <c r="I182" s="96">
        <v>2961.6</v>
      </c>
      <c r="J182" s="96">
        <v>4208</v>
      </c>
      <c r="K182" s="96">
        <v>4877.6</v>
      </c>
      <c r="L182" s="96">
        <v>5048</v>
      </c>
      <c r="M182" s="96">
        <f t="shared" ref="M182:Q182" si="327">M171+M176</f>
        <v>5220.07736972</v>
      </c>
      <c r="N182" s="96">
        <f t="shared" si="327"/>
        <v>5447.62935390218</v>
      </c>
      <c r="O182" s="96">
        <f t="shared" si="327"/>
        <v>5622.00757336632</v>
      </c>
      <c r="P182" s="96">
        <f t="shared" si="327"/>
        <v>5823.56760590401</v>
      </c>
      <c r="Q182" s="96">
        <f t="shared" si="327"/>
        <v>6052.1850151772</v>
      </c>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row>
    <row r="183" ht="18.5" spans="1:50">
      <c r="A183" s="2"/>
      <c r="B183" s="2" t="s">
        <v>40</v>
      </c>
      <c r="C183" s="2"/>
      <c r="D183" s="16">
        <v>0.485408684196081</v>
      </c>
      <c r="E183" s="16">
        <v>0.489174759322319</v>
      </c>
      <c r="F183" s="16">
        <v>0.484468906180806</v>
      </c>
      <c r="G183" s="16">
        <v>0.475497053711476</v>
      </c>
      <c r="H183" s="16">
        <v>0.470445768148197</v>
      </c>
      <c r="I183" s="16">
        <v>0.480210140580157</v>
      </c>
      <c r="J183" s="16">
        <v>0.491416559616957</v>
      </c>
      <c r="K183" s="16">
        <v>0.481738271604938</v>
      </c>
      <c r="L183" s="16">
        <v>0.478846518687156</v>
      </c>
      <c r="M183" s="16">
        <f t="shared" ref="M183" si="328">M182/M171</f>
        <v>0.46</v>
      </c>
      <c r="N183" s="16">
        <f t="shared" ref="N183" si="329">N182/N171</f>
        <v>0.46</v>
      </c>
      <c r="O183" s="16">
        <f t="shared" ref="O183" si="330">O182/O171</f>
        <v>0.46</v>
      </c>
      <c r="P183" s="16">
        <f t="shared" ref="P183" si="331">P182/P171</f>
        <v>0.46</v>
      </c>
      <c r="Q183" s="16">
        <f t="shared" ref="Q183" si="332">Q182/Q171</f>
        <v>0.46</v>
      </c>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row>
    <row r="184" ht="18.5" spans="1:50">
      <c r="A184" s="2"/>
      <c r="B184" s="2" t="s">
        <v>18</v>
      </c>
      <c r="C184" s="2"/>
      <c r="D184" s="39"/>
      <c r="E184" s="16">
        <v>0.315889169472185</v>
      </c>
      <c r="F184" s="16">
        <v>0.316259883121348</v>
      </c>
      <c r="G184" s="16">
        <v>0.464677461478193</v>
      </c>
      <c r="H184" s="16">
        <v>0.281504925778986</v>
      </c>
      <c r="I184" s="16">
        <v>0.0301934047585919</v>
      </c>
      <c r="J184" s="16">
        <v>0.42085359265262</v>
      </c>
      <c r="K184" s="16">
        <v>0.159125475285171</v>
      </c>
      <c r="L184" s="16">
        <v>0.0349352140396919</v>
      </c>
      <c r="M184" s="16">
        <f t="shared" ref="M184" si="333">M182/L182-1</f>
        <v>0.0340882269651341</v>
      </c>
      <c r="N184" s="16">
        <f t="shared" ref="N184" si="334">N182/M182-1</f>
        <v>0.0435916880278704</v>
      </c>
      <c r="O184" s="16">
        <f t="shared" ref="O184" si="335">O182/N182-1</f>
        <v>0.032009927279512</v>
      </c>
      <c r="P184" s="16">
        <f t="shared" ref="P184" si="336">P182/O182-1</f>
        <v>0.0358519674524369</v>
      </c>
      <c r="Q184" s="16">
        <f t="shared" ref="Q184" si="337">Q182/P182-1</f>
        <v>0.0392572774533282</v>
      </c>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row>
    <row r="185" ht="18.5" spans="1:50">
      <c r="A185" s="2"/>
      <c r="B185" s="2" t="s">
        <v>126</v>
      </c>
      <c r="C185" s="2"/>
      <c r="D185" s="2"/>
      <c r="E185" s="2"/>
      <c r="F185" s="110">
        <v>3.70713649162191</v>
      </c>
      <c r="G185" s="110">
        <v>1484.17578356845</v>
      </c>
      <c r="H185" s="110">
        <v>-1831.72535699206</v>
      </c>
      <c r="I185" s="110">
        <v>-2513.11521020394</v>
      </c>
      <c r="J185" s="110">
        <v>3906.60187894028</v>
      </c>
      <c r="K185" s="110">
        <v>-2617.28117367449</v>
      </c>
      <c r="L185" s="110">
        <v>-1241.90261245479</v>
      </c>
      <c r="M185" s="110">
        <f t="shared" ref="M185" si="338">(M184-L184)*10000</f>
        <v>-8.4698707455777</v>
      </c>
      <c r="N185" s="110">
        <f t="shared" ref="N185" si="339">(N184-M184)*10000</f>
        <v>95.0346106273625</v>
      </c>
      <c r="O185" s="110">
        <f t="shared" ref="O185" si="340">(O184-N184)*10000</f>
        <v>-115.817607483584</v>
      </c>
      <c r="P185" s="110">
        <f t="shared" ref="P185" si="341">(P184-O184)*10000</f>
        <v>38.4204017292489</v>
      </c>
      <c r="Q185" s="110">
        <f t="shared" ref="Q185" si="342">(Q184-P184)*10000</f>
        <v>34.0531000089128</v>
      </c>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row>
    <row r="186" ht="18.5" spans="1:50">
      <c r="A186" s="2"/>
      <c r="B186" s="8" t="s">
        <v>438</v>
      </c>
      <c r="C186" s="2"/>
      <c r="D186" s="96"/>
      <c r="E186" s="96"/>
      <c r="F186" s="98">
        <v>1.03907734056988</v>
      </c>
      <c r="G186" s="98">
        <v>0.92698347107438</v>
      </c>
      <c r="H186" s="98">
        <v>1.17434640522876</v>
      </c>
      <c r="I186" s="98">
        <v>1.12352048558422</v>
      </c>
      <c r="J186" s="98">
        <v>1.23691945914168</v>
      </c>
      <c r="K186" s="98">
        <v>1.43882005899705</v>
      </c>
      <c r="L186" s="98">
        <v>1.52185709978897</v>
      </c>
      <c r="M186" s="98">
        <f>M182/M156</f>
        <v>1.48325590010846</v>
      </c>
      <c r="N186" s="98">
        <f>N182/N156</f>
        <v>1.47420336054427</v>
      </c>
      <c r="O186" s="98">
        <f>O182/O156</f>
        <v>1.47708009991311</v>
      </c>
      <c r="P186" s="98">
        <f>P182/P156</f>
        <v>1.48547216269887</v>
      </c>
      <c r="Q186" s="98">
        <f>Q182/Q156</f>
        <v>1.49882306363023</v>
      </c>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row>
    <row r="187" ht="18.5" spans="1:50">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row>
    <row r="188" ht="18.5" spans="1:50">
      <c r="A188" s="2"/>
      <c r="B188" s="2" t="s">
        <v>178</v>
      </c>
      <c r="C188" s="2"/>
      <c r="D188" s="39">
        <v>-752.057</v>
      </c>
      <c r="E188" s="39">
        <v>-925.6</v>
      </c>
      <c r="F188" s="39">
        <v>-1238.1</v>
      </c>
      <c r="G188" s="39">
        <v>-1901.8</v>
      </c>
      <c r="H188" s="39">
        <v>-2459.1</v>
      </c>
      <c r="I188" s="39">
        <v>-2604.9</v>
      </c>
      <c r="J188" s="39">
        <v>-3514</v>
      </c>
      <c r="K188" s="39">
        <v>-4105.1</v>
      </c>
      <c r="L188" s="39">
        <v>-4158.9</v>
      </c>
      <c r="M188" s="117">
        <f>-M189*M171</f>
        <v>-4766.15759844</v>
      </c>
      <c r="N188" s="117">
        <f t="shared" ref="N188" si="343">-N189*N171</f>
        <v>-4973.92245356286</v>
      </c>
      <c r="O188" s="117">
        <f t="shared" ref="O188" si="344">-O189*O171</f>
        <v>-5133.13734959534</v>
      </c>
      <c r="P188" s="117">
        <f t="shared" ref="P188" si="345">-P189*P171</f>
        <v>-5317.17042278192</v>
      </c>
      <c r="Q188" s="117">
        <f t="shared" ref="Q188" si="346">-Q189*Q171</f>
        <v>-5525.9080573357</v>
      </c>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row>
    <row r="189" ht="18.5" spans="1:50">
      <c r="A189" s="2"/>
      <c r="B189" s="2" t="s">
        <v>40</v>
      </c>
      <c r="C189" s="2"/>
      <c r="D189" s="16">
        <v>0.412832519075589</v>
      </c>
      <c r="E189" s="16">
        <v>0.38912010762181</v>
      </c>
      <c r="F189" s="16">
        <v>0.391630290377681</v>
      </c>
      <c r="G189" s="16">
        <v>0.403111619822799</v>
      </c>
      <c r="H189" s="16">
        <v>0.402418668586764</v>
      </c>
      <c r="I189" s="16">
        <v>0.422372837384269</v>
      </c>
      <c r="J189" s="16">
        <v>0.410370197360738</v>
      </c>
      <c r="K189" s="16">
        <v>0.405441975308642</v>
      </c>
      <c r="L189" s="16">
        <v>0.394507683551508</v>
      </c>
      <c r="M189" s="112">
        <v>0.42</v>
      </c>
      <c r="N189" s="112">
        <v>0.42</v>
      </c>
      <c r="O189" s="112">
        <v>0.42</v>
      </c>
      <c r="P189" s="112">
        <v>0.42</v>
      </c>
      <c r="Q189" s="112">
        <v>0.42</v>
      </c>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row>
    <row r="190" ht="18.5" spans="1:50">
      <c r="A190" s="2"/>
      <c r="B190" s="2" t="s">
        <v>18</v>
      </c>
      <c r="C190" s="2"/>
      <c r="D190" s="39"/>
      <c r="E190" s="16">
        <v>0.230757775009075</v>
      </c>
      <c r="F190" s="16">
        <v>0.337618841832325</v>
      </c>
      <c r="G190" s="16">
        <v>0.536063322833374</v>
      </c>
      <c r="H190" s="16">
        <v>0.293038174361131</v>
      </c>
      <c r="I190" s="16">
        <v>0.0592899841405392</v>
      </c>
      <c r="J190" s="16">
        <v>0.34899612269185</v>
      </c>
      <c r="K190" s="16">
        <v>0.168212862834377</v>
      </c>
      <c r="L190" s="16">
        <v>0.013105649070668</v>
      </c>
      <c r="M190" s="16">
        <f t="shared" ref="M190" si="347">M188/L188-1</f>
        <v>0.146013993709875</v>
      </c>
      <c r="N190" s="16">
        <f t="shared" ref="N190" si="348">N188/M188-1</f>
        <v>0.0435916880278704</v>
      </c>
      <c r="O190" s="16">
        <f t="shared" ref="O190" si="349">O188/N188-1</f>
        <v>0.032009927279512</v>
      </c>
      <c r="P190" s="16">
        <f t="shared" ref="P190" si="350">P188/O188-1</f>
        <v>0.0358519674524369</v>
      </c>
      <c r="Q190" s="16">
        <f t="shared" ref="Q190" si="351">Q188/P188-1</f>
        <v>0.0392572774533282</v>
      </c>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row>
    <row r="191" ht="18.5" spans="2:17">
      <c r="B191" s="2" t="s">
        <v>126</v>
      </c>
      <c r="C191" s="2"/>
      <c r="D191" s="2"/>
      <c r="E191" s="2"/>
      <c r="F191" s="110">
        <v>1068.6106682325</v>
      </c>
      <c r="G191" s="110">
        <v>1984.44481001049</v>
      </c>
      <c r="H191" s="110">
        <v>-2430.25148472243</v>
      </c>
      <c r="I191" s="110">
        <v>-2337.48190220592</v>
      </c>
      <c r="J191" s="110">
        <v>2897.06138551311</v>
      </c>
      <c r="K191" s="110">
        <v>-1807.83259857473</v>
      </c>
      <c r="L191" s="110">
        <v>-1551.07213763709</v>
      </c>
      <c r="M191" s="110">
        <f t="shared" ref="M191" si="352">(M190-L190)*10000</f>
        <v>1329.08344639207</v>
      </c>
      <c r="N191" s="110">
        <f t="shared" ref="N191" si="353">(N190-M190)*10000</f>
        <v>-1024.22305682005</v>
      </c>
      <c r="O191" s="110">
        <f t="shared" ref="O191" si="354">(O190-N190)*10000</f>
        <v>-115.817607483584</v>
      </c>
      <c r="P191" s="110">
        <f t="shared" ref="P191" si="355">(P190-O190)*10000</f>
        <v>38.4204017292489</v>
      </c>
      <c r="Q191" s="110">
        <f t="shared" ref="Q191" si="356">(Q190-P190)*10000</f>
        <v>34.0531000089128</v>
      </c>
    </row>
    <row r="192" ht="18.5" spans="2:17">
      <c r="B192" s="2"/>
      <c r="C192" s="2"/>
      <c r="D192" s="39"/>
      <c r="E192" s="39"/>
      <c r="F192" s="39"/>
      <c r="G192" s="39"/>
      <c r="H192" s="39"/>
      <c r="I192" s="39"/>
      <c r="J192" s="39"/>
      <c r="K192" s="39"/>
      <c r="L192" s="39"/>
      <c r="M192" s="2"/>
      <c r="N192" s="2"/>
      <c r="O192" s="2"/>
      <c r="P192" s="2"/>
      <c r="Q192" s="2"/>
    </row>
    <row r="193" ht="18.5" spans="2:17">
      <c r="B193" s="2" t="s">
        <v>130</v>
      </c>
      <c r="C193" s="2"/>
      <c r="D193" s="111">
        <v>1.242</v>
      </c>
      <c r="E193" s="111">
        <v>1.8</v>
      </c>
      <c r="F193" s="111">
        <v>2.4</v>
      </c>
      <c r="G193" s="111">
        <v>4.7</v>
      </c>
      <c r="H193" s="111">
        <v>10.9</v>
      </c>
      <c r="I193" s="111">
        <v>28.3</v>
      </c>
      <c r="J193" s="111">
        <v>27.2</v>
      </c>
      <c r="K193" s="111">
        <v>33.5</v>
      </c>
      <c r="L193" s="111">
        <v>38.1</v>
      </c>
      <c r="M193" s="117">
        <f>L193*(1+M194)</f>
        <v>41.91</v>
      </c>
      <c r="N193" s="117">
        <f t="shared" ref="N193" si="357">M193*(1+N194)</f>
        <v>46.101</v>
      </c>
      <c r="O193" s="117">
        <f t="shared" ref="O193" si="358">N193*(1+O194)</f>
        <v>50.7111</v>
      </c>
      <c r="P193" s="117">
        <f t="shared" ref="P193" si="359">O193*(1+P194)</f>
        <v>55.78221</v>
      </c>
      <c r="Q193" s="117">
        <f t="shared" ref="Q193" si="360">P193*(1+Q194)</f>
        <v>61.360431</v>
      </c>
    </row>
    <row r="194" ht="18.5" spans="2:17">
      <c r="B194" s="2" t="s">
        <v>18</v>
      </c>
      <c r="C194" s="2"/>
      <c r="D194" s="111"/>
      <c r="E194" s="16">
        <v>0.449275362318841</v>
      </c>
      <c r="F194" s="16">
        <v>0.333333333333333</v>
      </c>
      <c r="G194" s="16">
        <v>0.958333333333333</v>
      </c>
      <c r="H194" s="16">
        <v>1.31914893617021</v>
      </c>
      <c r="I194" s="16">
        <v>1.59633027522936</v>
      </c>
      <c r="J194" s="16">
        <v>-0.0388692579505301</v>
      </c>
      <c r="K194" s="16">
        <v>0.231617647058824</v>
      </c>
      <c r="L194" s="16">
        <v>0.137313432835821</v>
      </c>
      <c r="M194" s="16">
        <v>0.1</v>
      </c>
      <c r="N194" s="16">
        <v>0.1</v>
      </c>
      <c r="O194" s="16">
        <v>0.1</v>
      </c>
      <c r="P194" s="16">
        <v>0.1</v>
      </c>
      <c r="Q194" s="16">
        <v>0.1</v>
      </c>
    </row>
    <row r="195" ht="18.5" spans="2:17">
      <c r="B195" s="2"/>
      <c r="C195" s="2"/>
      <c r="D195" s="2"/>
      <c r="E195" s="2"/>
      <c r="F195" s="2"/>
      <c r="G195" s="2"/>
      <c r="H195" s="2"/>
      <c r="I195" s="2"/>
      <c r="J195" s="2"/>
      <c r="K195" s="2"/>
      <c r="L195" s="2"/>
      <c r="M195" s="2"/>
      <c r="N195" s="2"/>
      <c r="O195" s="2"/>
      <c r="P195" s="2"/>
      <c r="Q195" s="2"/>
    </row>
    <row r="196" ht="18.5" spans="2:17">
      <c r="B196" s="8" t="s">
        <v>132</v>
      </c>
      <c r="C196" s="2"/>
      <c r="D196" s="96">
        <v>133.454</v>
      </c>
      <c r="E196" s="96">
        <v>239.8</v>
      </c>
      <c r="F196" s="96">
        <v>295.9</v>
      </c>
      <c r="G196" s="96">
        <v>346.2</v>
      </c>
      <c r="H196" s="96">
        <v>426.6</v>
      </c>
      <c r="I196" s="96">
        <v>385</v>
      </c>
      <c r="J196" s="96">
        <v>721.2</v>
      </c>
      <c r="K196" s="96">
        <v>806</v>
      </c>
      <c r="L196" s="96">
        <v>927.200000000002</v>
      </c>
      <c r="M196" s="96">
        <f t="shared" ref="M196:Q196" si="361">M182+M188+M193</f>
        <v>495.82977128</v>
      </c>
      <c r="N196" s="96">
        <f t="shared" si="361"/>
        <v>519.80790033932</v>
      </c>
      <c r="O196" s="96">
        <f t="shared" si="361"/>
        <v>539.581323770985</v>
      </c>
      <c r="P196" s="96">
        <f t="shared" si="361"/>
        <v>562.179393122088</v>
      </c>
      <c r="Q196" s="96">
        <f t="shared" si="361"/>
        <v>587.637388841496</v>
      </c>
    </row>
    <row r="197" ht="18.5" spans="2:17">
      <c r="B197" s="2" t="s">
        <v>40</v>
      </c>
      <c r="C197" s="2"/>
      <c r="D197" s="16">
        <v>0.0732579458747324</v>
      </c>
      <c r="E197" s="16">
        <v>0.100811367553706</v>
      </c>
      <c r="F197" s="16">
        <v>0.093597773138483</v>
      </c>
      <c r="G197" s="16">
        <v>0.0733816609436602</v>
      </c>
      <c r="H197" s="16">
        <v>0.0698108267329973</v>
      </c>
      <c r="I197" s="16">
        <v>0.0624260211113454</v>
      </c>
      <c r="J197" s="16">
        <v>0.0842228191054537</v>
      </c>
      <c r="K197" s="16">
        <v>0.0796049382716049</v>
      </c>
      <c r="L197" s="16">
        <v>0.0879529501043447</v>
      </c>
      <c r="M197" s="16">
        <f t="shared" ref="M197" si="362">M196/M171</f>
        <v>0.0436931636515253</v>
      </c>
      <c r="N197" s="16">
        <f t="shared" ref="N197" si="363">N196/N171</f>
        <v>0.0438927868660539</v>
      </c>
      <c r="O197" s="16">
        <f t="shared" ref="O197" si="364">O196/O171</f>
        <v>0.044149248412704</v>
      </c>
      <c r="P197" s="16">
        <f t="shared" ref="P197" si="365">P196/P171</f>
        <v>0.0444062022348613</v>
      </c>
      <c r="Q197" s="16">
        <f t="shared" ref="Q197" si="366">Q196/Q171</f>
        <v>0.0446637368469764</v>
      </c>
    </row>
    <row r="198" ht="18.5" spans="2:17">
      <c r="B198" s="2" t="s">
        <v>18</v>
      </c>
      <c r="C198" s="2"/>
      <c r="D198" s="39"/>
      <c r="E198" s="16">
        <v>0.796873829184587</v>
      </c>
      <c r="F198" s="16">
        <v>0.233944954128442</v>
      </c>
      <c r="G198" s="16">
        <v>0.169989861439675</v>
      </c>
      <c r="H198" s="16">
        <v>0.232235701906413</v>
      </c>
      <c r="I198" s="16">
        <v>-0.0975152367557429</v>
      </c>
      <c r="J198" s="16">
        <v>0.873246753246752</v>
      </c>
      <c r="K198" s="16">
        <v>0.117581808097615</v>
      </c>
      <c r="L198" s="16">
        <v>0.150372208436727</v>
      </c>
      <c r="M198" s="16">
        <f t="shared" ref="M198" si="367">M196/L196-1</f>
        <v>-0.465239677221745</v>
      </c>
      <c r="N198" s="16">
        <f t="shared" ref="N198" si="368">N196/M196-1</f>
        <v>0.0483595992984043</v>
      </c>
      <c r="O198" s="16">
        <f t="shared" ref="O198" si="369">O196/N196-1</f>
        <v>0.0380398670715805</v>
      </c>
      <c r="P198" s="16">
        <f t="shared" ref="P198" si="370">P196/O196-1</f>
        <v>0.0418807478234628</v>
      </c>
      <c r="Q198" s="16">
        <f t="shared" ref="Q198" si="371">Q196/P196-1</f>
        <v>0.0452844697455479</v>
      </c>
    </row>
    <row r="199" ht="18.5" spans="2:17">
      <c r="B199" s="2" t="s">
        <v>126</v>
      </c>
      <c r="C199" s="2"/>
      <c r="D199" s="2"/>
      <c r="E199" s="2"/>
      <c r="F199" s="110">
        <v>-5629.28875056146</v>
      </c>
      <c r="G199" s="110">
        <v>-639.550926887671</v>
      </c>
      <c r="H199" s="110">
        <v>622.458404667385</v>
      </c>
      <c r="I199" s="110">
        <v>-3297.50938662156</v>
      </c>
      <c r="J199" s="110">
        <v>9707.61990002495</v>
      </c>
      <c r="K199" s="110">
        <v>-7556.64945149137</v>
      </c>
      <c r="L199" s="110">
        <v>327.904003391124</v>
      </c>
      <c r="M199" s="110">
        <f t="shared" ref="M199" si="372">(M198-L198)*10000</f>
        <v>-6156.11885658472</v>
      </c>
      <c r="N199" s="110">
        <f t="shared" ref="N199" si="373">(N198-M198)*10000</f>
        <v>5135.99276520149</v>
      </c>
      <c r="O199" s="110">
        <f t="shared" ref="O199" si="374">(O198-N198)*10000</f>
        <v>-103.197322268238</v>
      </c>
      <c r="P199" s="110">
        <f t="shared" ref="P199" si="375">(P198-O198)*10000</f>
        <v>38.4088075188238</v>
      </c>
      <c r="Q199" s="110">
        <f t="shared" ref="Q199" si="376">(Q198-P198)*10000</f>
        <v>34.0372192208505</v>
      </c>
    </row>
    <row r="200" ht="18.5" spans="2:17">
      <c r="B200" s="8" t="s">
        <v>456</v>
      </c>
      <c r="C200" s="2"/>
      <c r="D200" s="96"/>
      <c r="E200" s="97">
        <v>0.190926391382406</v>
      </c>
      <c r="F200" s="97">
        <v>0.0716749712533541</v>
      </c>
      <c r="G200" s="97">
        <v>0.0323181701362116</v>
      </c>
      <c r="H200" s="97">
        <v>0.0577171572146448</v>
      </c>
      <c r="I200" s="97">
        <v>-0.736283185840707</v>
      </c>
      <c r="J200" s="97">
        <v>0.140334766456568</v>
      </c>
      <c r="K200" s="97">
        <v>0.0542893725992317</v>
      </c>
      <c r="L200" s="97">
        <v>0.290647482014392</v>
      </c>
      <c r="M200" s="97">
        <f t="shared" ref="M200:Q200" si="377">(M196-L196)/(M171-L171)</f>
        <v>-0.535202591821866</v>
      </c>
      <c r="N200" s="97">
        <f t="shared" si="377"/>
        <v>0.0484721739822607</v>
      </c>
      <c r="O200" s="97">
        <f t="shared" si="377"/>
        <v>0.052161186222206</v>
      </c>
      <c r="P200" s="97">
        <f t="shared" si="377"/>
        <v>0.0515732795367746</v>
      </c>
      <c r="Q200" s="97">
        <f t="shared" si="377"/>
        <v>0.0512239118978633</v>
      </c>
    </row>
    <row r="201" ht="18.5" spans="2:17">
      <c r="B201" s="8" t="s">
        <v>439</v>
      </c>
      <c r="C201" s="2"/>
      <c r="D201" s="96"/>
      <c r="E201" s="98">
        <v>0.186180124223602</v>
      </c>
      <c r="F201" s="98">
        <v>0.200746268656717</v>
      </c>
      <c r="G201" s="98">
        <v>0.143057851239669</v>
      </c>
      <c r="H201" s="98">
        <v>0.174264705882353</v>
      </c>
      <c r="I201" s="98">
        <v>0.146054628224583</v>
      </c>
      <c r="J201" s="98">
        <v>0.211992945326279</v>
      </c>
      <c r="K201" s="98">
        <v>0.237758112094395</v>
      </c>
      <c r="L201" s="98">
        <v>0.27952969550799</v>
      </c>
      <c r="M201" s="98">
        <f>M196/M156</f>
        <v>0.140887266914194</v>
      </c>
      <c r="N201" s="98">
        <f>N196/N156</f>
        <v>0.14066716065563</v>
      </c>
      <c r="O201" s="98">
        <f>O196/O156</f>
        <v>0.141765165775056</v>
      </c>
      <c r="P201" s="98">
        <f>P196/P156</f>
        <v>0.143400385371876</v>
      </c>
      <c r="Q201" s="98">
        <f>Q196/Q156</f>
        <v>0.145528345422086</v>
      </c>
    </row>
    <row r="202" ht="18.5" spans="2:17">
      <c r="B202" s="2"/>
      <c r="C202" s="2"/>
      <c r="D202" s="2"/>
      <c r="E202" s="2"/>
      <c r="F202" s="2"/>
      <c r="G202" s="2"/>
      <c r="H202" s="2"/>
      <c r="I202" s="2"/>
      <c r="J202" s="2"/>
      <c r="K202" s="2"/>
      <c r="L202" s="2"/>
      <c r="M202" s="2"/>
      <c r="N202" s="2"/>
      <c r="O202" s="2"/>
      <c r="P202" s="2"/>
      <c r="Q202" s="2"/>
    </row>
    <row r="203" ht="18.5" spans="2:17">
      <c r="B203" s="2" t="s">
        <v>192</v>
      </c>
      <c r="C203" s="2"/>
      <c r="D203" s="39">
        <v>-1.775</v>
      </c>
      <c r="E203" s="39">
        <v>-1.4</v>
      </c>
      <c r="F203" s="39">
        <v>-1.4</v>
      </c>
      <c r="G203" s="39">
        <v>-6.3</v>
      </c>
      <c r="H203" s="39">
        <v>-78.1</v>
      </c>
      <c r="I203" s="39">
        <v>-61</v>
      </c>
      <c r="J203" s="39">
        <v>-66.5</v>
      </c>
      <c r="K203" s="2">
        <v>-319.3</v>
      </c>
      <c r="L203" s="2">
        <v>-116</v>
      </c>
      <c r="M203" s="2">
        <v>-116</v>
      </c>
      <c r="N203" s="2">
        <v>-116</v>
      </c>
      <c r="O203" s="2">
        <v>-116</v>
      </c>
      <c r="P203" s="2">
        <v>-116</v>
      </c>
      <c r="Q203" s="2">
        <v>-116</v>
      </c>
    </row>
    <row r="204" ht="18.5" spans="2:17">
      <c r="B204" s="2"/>
      <c r="C204" s="2"/>
      <c r="D204" s="2"/>
      <c r="E204" s="2"/>
      <c r="F204" s="2"/>
      <c r="G204" s="2"/>
      <c r="H204" s="2"/>
      <c r="I204" s="2"/>
      <c r="J204" s="2"/>
      <c r="K204" s="2"/>
      <c r="L204" s="2"/>
      <c r="M204" s="2"/>
      <c r="N204" s="2"/>
      <c r="O204" s="2"/>
      <c r="P204" s="2"/>
      <c r="Q204" s="2"/>
    </row>
    <row r="205" ht="18.5" spans="2:17">
      <c r="B205" s="8" t="s">
        <v>193</v>
      </c>
      <c r="C205" s="2"/>
      <c r="D205" s="96">
        <v>131.679</v>
      </c>
      <c r="E205" s="96">
        <v>238.4</v>
      </c>
      <c r="F205" s="96">
        <v>294.5</v>
      </c>
      <c r="G205" s="96">
        <v>339.9</v>
      </c>
      <c r="H205" s="96">
        <v>348.5</v>
      </c>
      <c r="I205" s="96">
        <v>324</v>
      </c>
      <c r="J205" s="96">
        <v>654.7</v>
      </c>
      <c r="K205" s="96">
        <v>486.7</v>
      </c>
      <c r="L205" s="96">
        <v>811.200000000002</v>
      </c>
      <c r="M205" s="96">
        <f t="shared" ref="M205:Q205" si="378">M196+M203</f>
        <v>379.82977128</v>
      </c>
      <c r="N205" s="96">
        <f t="shared" si="378"/>
        <v>403.80790033932</v>
      </c>
      <c r="O205" s="96">
        <f t="shared" si="378"/>
        <v>423.581323770985</v>
      </c>
      <c r="P205" s="96">
        <f t="shared" si="378"/>
        <v>446.179393122088</v>
      </c>
      <c r="Q205" s="96">
        <f t="shared" si="378"/>
        <v>471.637388841496</v>
      </c>
    </row>
    <row r="206" ht="18.5" spans="2:17">
      <c r="B206" s="2" t="s">
        <v>40</v>
      </c>
      <c r="C206" s="2"/>
      <c r="D206" s="16">
        <v>0.0722835812702421</v>
      </c>
      <c r="E206" s="16">
        <v>0.100222810778997</v>
      </c>
      <c r="F206" s="16">
        <v>0.0931549313595243</v>
      </c>
      <c r="G206" s="16">
        <v>0.0720462927635762</v>
      </c>
      <c r="H206" s="16">
        <v>0.0570301760816915</v>
      </c>
      <c r="I206" s="16">
        <v>0.0525351450391582</v>
      </c>
      <c r="J206" s="16">
        <v>0.0764568492350812</v>
      </c>
      <c r="K206" s="16">
        <v>0.0480691358024691</v>
      </c>
      <c r="L206" s="16">
        <v>0.0769493454752421</v>
      </c>
      <c r="M206" s="16">
        <f t="shared" ref="M206" si="379">M205/M171</f>
        <v>0.033471092938642</v>
      </c>
      <c r="N206" s="16">
        <f t="shared" ref="N206" si="380">N205/N171</f>
        <v>0.0340977005021518</v>
      </c>
      <c r="O206" s="16">
        <f t="shared" ref="O206" si="381">O205/O171</f>
        <v>0.0346579769578615</v>
      </c>
      <c r="P206" s="16">
        <f t="shared" ref="P206" si="382">P205/P171</f>
        <v>0.035243434046869</v>
      </c>
      <c r="Q206" s="16">
        <f t="shared" ref="Q206" si="383">Q205/Q171</f>
        <v>0.0358470863536111</v>
      </c>
    </row>
    <row r="207" ht="18.5" spans="2:17">
      <c r="B207" s="2" t="s">
        <v>18</v>
      </c>
      <c r="C207" s="2"/>
      <c r="D207" s="96"/>
      <c r="E207" s="16">
        <v>0.810463323688667</v>
      </c>
      <c r="F207" s="16">
        <v>0.23531879194631</v>
      </c>
      <c r="G207" s="16">
        <v>0.15415959252971</v>
      </c>
      <c r="H207" s="16">
        <v>0.0253015592821426</v>
      </c>
      <c r="I207" s="16">
        <v>-0.0703012912482064</v>
      </c>
      <c r="J207" s="16">
        <v>1.02067901234568</v>
      </c>
      <c r="K207" s="16">
        <v>-0.256606079120208</v>
      </c>
      <c r="L207" s="16">
        <v>0.666735155126366</v>
      </c>
      <c r="M207" s="16">
        <f t="shared" ref="M207" si="384">M205/L205-1</f>
        <v>-0.531768033431954</v>
      </c>
      <c r="N207" s="16">
        <f t="shared" ref="N207" si="385">N205/M205-1</f>
        <v>0.0631286193773479</v>
      </c>
      <c r="O207" s="16">
        <f t="shared" ref="O207" si="386">O205/N205-1</f>
        <v>0.0489674011208039</v>
      </c>
      <c r="P207" s="16">
        <f t="shared" ref="P207" si="387">P205/O205-1</f>
        <v>0.0533500135226002</v>
      </c>
      <c r="Q207" s="16">
        <f t="shared" ref="Q207" si="388">Q205/P205-1</f>
        <v>0.0570577577356686</v>
      </c>
    </row>
    <row r="208" ht="18.5" spans="2:17">
      <c r="B208" s="2" t="s">
        <v>126</v>
      </c>
      <c r="C208" s="2"/>
      <c r="D208" s="96"/>
      <c r="E208" s="2"/>
      <c r="F208" s="110">
        <v>-5751.44531742357</v>
      </c>
      <c r="G208" s="110">
        <v>-811.591994165999</v>
      </c>
      <c r="H208" s="110">
        <v>-1288.58033247568</v>
      </c>
      <c r="I208" s="110">
        <v>-956.02850530349</v>
      </c>
      <c r="J208" s="110">
        <v>10909.8030359388</v>
      </c>
      <c r="K208" s="110">
        <v>-12772.8509146589</v>
      </c>
      <c r="L208" s="110">
        <v>9233.41234246574</v>
      </c>
      <c r="M208" s="110">
        <f t="shared" ref="M208" si="389">(M207-L207)*10000</f>
        <v>-11985.0318855832</v>
      </c>
      <c r="N208" s="110">
        <f t="shared" ref="N208" si="390">(N207-M207)*10000</f>
        <v>5948.96652809302</v>
      </c>
      <c r="O208" s="110">
        <f t="shared" ref="O208" si="391">(O207-N207)*10000</f>
        <v>-141.61218256544</v>
      </c>
      <c r="P208" s="110">
        <f t="shared" ref="P208" si="392">(P207-O207)*10000</f>
        <v>43.8261240179627</v>
      </c>
      <c r="Q208" s="110">
        <f t="shared" ref="Q208" si="393">(Q207-P207)*10000</f>
        <v>37.0774421306841</v>
      </c>
    </row>
    <row r="209" ht="18.5" spans="2:17">
      <c r="B209" s="2"/>
      <c r="C209" s="2"/>
      <c r="D209" s="2"/>
      <c r="E209" s="2"/>
      <c r="F209" s="2"/>
      <c r="G209" s="2"/>
      <c r="H209" s="2"/>
      <c r="I209" s="2"/>
      <c r="J209" s="2"/>
      <c r="K209" s="2"/>
      <c r="L209" s="2"/>
      <c r="M209" s="2"/>
      <c r="N209" s="2"/>
      <c r="O209" s="2"/>
      <c r="P209" s="2"/>
      <c r="Q209" s="2"/>
    </row>
    <row r="210" ht="18.5" spans="2:17">
      <c r="B210" s="2" t="s">
        <v>380</v>
      </c>
      <c r="C210" s="2"/>
      <c r="D210" s="110">
        <v>-31.001</v>
      </c>
      <c r="E210" s="110">
        <v>-53.788</v>
      </c>
      <c r="F210" s="110">
        <v>-58.1</v>
      </c>
      <c r="G210" s="110">
        <v>-75.7</v>
      </c>
      <c r="H210" s="110">
        <v>-97.8</v>
      </c>
      <c r="I210" s="110">
        <v>-94.8</v>
      </c>
      <c r="J210" s="110">
        <v>-195.1</v>
      </c>
      <c r="K210" s="110">
        <v>-214.2</v>
      </c>
      <c r="L210" s="110">
        <v>-206.2</v>
      </c>
      <c r="M210" s="117">
        <f>-M205*M211</f>
        <v>-96.4767619051199</v>
      </c>
      <c r="N210" s="117">
        <f t="shared" ref="N210" si="394">-N205*N211</f>
        <v>-102.567206686187</v>
      </c>
      <c r="O210" s="117">
        <f t="shared" ref="O210" si="395">-O205*O211</f>
        <v>-107.58965623783</v>
      </c>
      <c r="P210" s="117">
        <f t="shared" ref="P210" si="396">-P205*P211</f>
        <v>-113.32956585301</v>
      </c>
      <c r="Q210" s="117">
        <f t="shared" ref="Q210" si="397">-Q205*Q211</f>
        <v>-119.79589676574</v>
      </c>
    </row>
    <row r="211" ht="18.5" spans="2:17">
      <c r="B211" s="2" t="s">
        <v>382</v>
      </c>
      <c r="C211" s="2"/>
      <c r="D211" s="16">
        <v>0.235428580107686</v>
      </c>
      <c r="E211" s="16">
        <v>0.225620805369128</v>
      </c>
      <c r="F211" s="16">
        <v>0.197283531409168</v>
      </c>
      <c r="G211" s="16">
        <v>0.222712562518388</v>
      </c>
      <c r="H211" s="16">
        <v>0.280631276901004</v>
      </c>
      <c r="I211" s="16">
        <v>0.292592592592592</v>
      </c>
      <c r="J211" s="16">
        <v>0.297999083549717</v>
      </c>
      <c r="K211" s="16">
        <v>0.440106841997123</v>
      </c>
      <c r="L211" s="16">
        <v>0.254191321499013</v>
      </c>
      <c r="M211" s="16">
        <v>0.254</v>
      </c>
      <c r="N211" s="16">
        <v>0.254</v>
      </c>
      <c r="O211" s="16">
        <v>0.254</v>
      </c>
      <c r="P211" s="16">
        <v>0.254</v>
      </c>
      <c r="Q211" s="16">
        <v>0.254</v>
      </c>
    </row>
    <row r="212" ht="18.5" spans="2:17">
      <c r="B212" s="2"/>
      <c r="C212" s="2"/>
      <c r="D212" s="2"/>
      <c r="E212" s="2"/>
      <c r="F212" s="2"/>
      <c r="G212" s="2"/>
      <c r="H212" s="2"/>
      <c r="I212" s="2"/>
      <c r="J212" s="2"/>
      <c r="K212" s="2"/>
      <c r="L212" s="2"/>
      <c r="M212" s="2"/>
      <c r="N212" s="2"/>
      <c r="O212" s="2"/>
      <c r="P212" s="2"/>
      <c r="Q212" s="2"/>
    </row>
    <row r="213" ht="18.5" spans="2:17">
      <c r="B213" s="8" t="s">
        <v>198</v>
      </c>
      <c r="C213" s="2"/>
      <c r="D213" s="96">
        <v>100.678</v>
      </c>
      <c r="E213" s="96">
        <v>184.612</v>
      </c>
      <c r="F213" s="96">
        <v>236.4</v>
      </c>
      <c r="G213" s="96">
        <v>264.2</v>
      </c>
      <c r="H213" s="96">
        <v>250.7</v>
      </c>
      <c r="I213" s="96">
        <v>229.2</v>
      </c>
      <c r="J213" s="96">
        <v>459.6</v>
      </c>
      <c r="K213" s="96">
        <v>272.5</v>
      </c>
      <c r="L213" s="96">
        <v>605.000000000002</v>
      </c>
      <c r="M213" s="96">
        <f t="shared" ref="M213:Q213" si="398">M205+M210</f>
        <v>283.35300937488</v>
      </c>
      <c r="N213" s="96">
        <f t="shared" si="398"/>
        <v>301.240693653133</v>
      </c>
      <c r="O213" s="96">
        <f t="shared" si="398"/>
        <v>315.991667533155</v>
      </c>
      <c r="P213" s="96">
        <f t="shared" si="398"/>
        <v>332.849827269078</v>
      </c>
      <c r="Q213" s="96">
        <f t="shared" si="398"/>
        <v>351.841492075756</v>
      </c>
    </row>
    <row r="214" ht="18.5" spans="2:17">
      <c r="B214" s="2"/>
      <c r="C214" s="2"/>
      <c r="D214" s="2"/>
      <c r="E214" s="2"/>
      <c r="F214" s="2"/>
      <c r="G214" s="2"/>
      <c r="H214" s="2"/>
      <c r="I214" s="2"/>
      <c r="J214" s="2"/>
      <c r="K214" s="2"/>
      <c r="L214" s="2"/>
      <c r="M214" s="2"/>
      <c r="N214" s="2"/>
      <c r="O214" s="2"/>
      <c r="P214" s="2"/>
      <c r="Q214" s="2"/>
    </row>
    <row r="215" ht="18.5" spans="2:17">
      <c r="B215" s="8" t="s">
        <v>199</v>
      </c>
      <c r="C215" s="2"/>
      <c r="D215" s="96">
        <v>97.634</v>
      </c>
      <c r="E215" s="96">
        <v>178.9</v>
      </c>
      <c r="F215" s="96">
        <v>231.9</v>
      </c>
      <c r="G215" s="96">
        <v>261.8</v>
      </c>
      <c r="H215" s="96">
        <v>246.1</v>
      </c>
      <c r="I215" s="96">
        <v>224.3</v>
      </c>
      <c r="J215" s="96">
        <v>369.7</v>
      </c>
      <c r="K215" s="96">
        <v>188.3</v>
      </c>
      <c r="L215" s="96">
        <v>538.8</v>
      </c>
      <c r="M215" s="117">
        <f>M216*M213</f>
        <v>255.017708437392</v>
      </c>
      <c r="N215" s="117">
        <f t="shared" ref="N215" si="399">N216*N213</f>
        <v>271.116624287819</v>
      </c>
      <c r="O215" s="117">
        <f t="shared" ref="O215" si="400">O216*O213</f>
        <v>284.392500779839</v>
      </c>
      <c r="P215" s="117">
        <f t="shared" ref="P215" si="401">P216*P213</f>
        <v>299.56484454217</v>
      </c>
      <c r="Q215" s="117">
        <f t="shared" ref="Q215" si="402">Q216*Q213</f>
        <v>316.65734286818</v>
      </c>
    </row>
    <row r="216" ht="18.5" spans="2:17">
      <c r="B216" s="2" t="s">
        <v>457</v>
      </c>
      <c r="C216" s="2"/>
      <c r="D216" s="16">
        <v>0.96976499334512</v>
      </c>
      <c r="E216" s="16">
        <v>0.969059432756268</v>
      </c>
      <c r="F216" s="16">
        <v>0.980964467005075</v>
      </c>
      <c r="G216" s="16">
        <v>0.990915972747918</v>
      </c>
      <c r="H216" s="16">
        <v>0.981651376146788</v>
      </c>
      <c r="I216" s="16">
        <v>0.978621291448516</v>
      </c>
      <c r="J216" s="16">
        <v>0.804395126196693</v>
      </c>
      <c r="K216" s="16">
        <v>0.691009174311927</v>
      </c>
      <c r="L216" s="16">
        <v>0.890578512396691</v>
      </c>
      <c r="M216" s="16">
        <v>0.9</v>
      </c>
      <c r="N216" s="16">
        <v>0.9</v>
      </c>
      <c r="O216" s="16">
        <v>0.9</v>
      </c>
      <c r="P216" s="16">
        <v>0.9</v>
      </c>
      <c r="Q216" s="16">
        <v>0.9</v>
      </c>
    </row>
    <row r="217" ht="18.5" spans="2:17">
      <c r="B217" s="2"/>
      <c r="C217" s="2"/>
      <c r="D217" s="2"/>
      <c r="E217" s="2"/>
      <c r="F217" s="2"/>
      <c r="G217" s="2"/>
      <c r="H217" s="2"/>
      <c r="I217" s="2"/>
      <c r="J217" s="2"/>
      <c r="K217" s="2"/>
      <c r="L217" s="2"/>
      <c r="M217" s="2"/>
      <c r="N217" s="2"/>
      <c r="O217" s="2"/>
      <c r="P217" s="2"/>
      <c r="Q217" s="2"/>
    </row>
    <row r="218" ht="18.5" spans="2:17">
      <c r="B218" s="8" t="s">
        <v>36</v>
      </c>
      <c r="C218" s="2"/>
      <c r="D218" s="139">
        <v>194.646</v>
      </c>
      <c r="E218" s="139">
        <v>973.23316</v>
      </c>
      <c r="F218" s="139">
        <v>973.23316</v>
      </c>
      <c r="G218" s="139">
        <v>973.23316</v>
      </c>
      <c r="H218" s="139">
        <v>973.23316</v>
      </c>
      <c r="I218" s="139">
        <v>4866.1658</v>
      </c>
      <c r="J218" s="139">
        <v>5158.135745</v>
      </c>
      <c r="K218" s="139">
        <v>5158.497877</v>
      </c>
      <c r="L218" s="139">
        <v>5183.135745</v>
      </c>
      <c r="M218" s="139">
        <v>5183</v>
      </c>
      <c r="N218" s="139">
        <v>5183</v>
      </c>
      <c r="O218" s="139">
        <v>5183</v>
      </c>
      <c r="P218" s="139">
        <v>5183</v>
      </c>
      <c r="Q218" s="139">
        <v>5183</v>
      </c>
    </row>
    <row r="219" ht="18.5" spans="2:17">
      <c r="B219" s="2" t="s">
        <v>18</v>
      </c>
      <c r="C219" s="2"/>
      <c r="D219" s="39"/>
      <c r="E219" s="16">
        <v>4.00001623460025</v>
      </c>
      <c r="F219" s="16">
        <v>0</v>
      </c>
      <c r="G219" s="16">
        <v>0</v>
      </c>
      <c r="H219" s="16">
        <v>0</v>
      </c>
      <c r="I219" s="16">
        <v>4</v>
      </c>
      <c r="J219" s="16">
        <v>0.0599999993834981</v>
      </c>
      <c r="K219" s="16">
        <v>7.02059848562975e-5</v>
      </c>
      <c r="L219" s="16">
        <v>0.00477617100703909</v>
      </c>
      <c r="M219" s="16">
        <f t="shared" ref="M219" si="403">M218/L218-1</f>
        <v>-2.61897443319947e-5</v>
      </c>
      <c r="N219" s="16">
        <f t="shared" ref="N219" si="404">N218/M218-1</f>
        <v>0</v>
      </c>
      <c r="O219" s="16">
        <f t="shared" ref="O219" si="405">O218/N218-1</f>
        <v>0</v>
      </c>
      <c r="P219" s="16">
        <f t="shared" ref="P219" si="406">P218/O218-1</f>
        <v>0</v>
      </c>
      <c r="Q219" s="16">
        <f t="shared" ref="Q219" si="407">Q218/P218-1</f>
        <v>0</v>
      </c>
    </row>
    <row r="220" ht="18.5" spans="2:17">
      <c r="B220" s="2"/>
      <c r="C220" s="2"/>
      <c r="D220" s="2"/>
      <c r="E220" s="2"/>
      <c r="F220" s="2"/>
      <c r="G220" s="2"/>
      <c r="H220" s="2"/>
      <c r="I220" s="2"/>
      <c r="J220" s="2"/>
      <c r="K220" s="2"/>
      <c r="L220" s="2"/>
      <c r="M220" s="2"/>
      <c r="N220" s="2"/>
      <c r="O220" s="2"/>
      <c r="P220" s="2"/>
      <c r="Q220" s="2"/>
    </row>
    <row r="221" ht="18.5" spans="2:17">
      <c r="B221" s="127" t="s">
        <v>65</v>
      </c>
      <c r="C221" s="128"/>
      <c r="D221" s="138">
        <v>0.501597772366244</v>
      </c>
      <c r="E221" s="138">
        <v>0.183820288244186</v>
      </c>
      <c r="F221" s="138">
        <v>0.238277947701659</v>
      </c>
      <c r="G221" s="138">
        <v>0.269000287659742</v>
      </c>
      <c r="H221" s="138">
        <v>0.252868490424227</v>
      </c>
      <c r="I221" s="138">
        <v>0.0460937849672118</v>
      </c>
      <c r="J221" s="138">
        <v>0.0716731816060417</v>
      </c>
      <c r="K221" s="138">
        <v>0.0365028743812353</v>
      </c>
      <c r="L221" s="138">
        <v>0.103952515717876</v>
      </c>
      <c r="M221" s="138">
        <f t="shared" ref="M221:Q221" si="408">M215/M218</f>
        <v>0.0492027220600794</v>
      </c>
      <c r="N221" s="138">
        <f t="shared" si="408"/>
        <v>0.0523088219733396</v>
      </c>
      <c r="O221" s="138">
        <f t="shared" si="408"/>
        <v>0.0548702490410649</v>
      </c>
      <c r="P221" s="138">
        <f t="shared" si="408"/>
        <v>0.0577975775693941</v>
      </c>
      <c r="Q221" s="138">
        <f t="shared" si="408"/>
        <v>0.0610953777480571</v>
      </c>
    </row>
    <row r="222" ht="18.5" spans="2:17">
      <c r="B222" s="2" t="s">
        <v>18</v>
      </c>
      <c r="C222" s="2"/>
      <c r="D222" s="2"/>
      <c r="E222" s="16">
        <v>-0.633530493213657</v>
      </c>
      <c r="F222" s="16">
        <v>0.296254891000559</v>
      </c>
      <c r="G222" s="16">
        <v>0.128934885726606</v>
      </c>
      <c r="H222" s="16">
        <v>-0.0599694423223835</v>
      </c>
      <c r="I222" s="16">
        <v>-0.817716375457131</v>
      </c>
      <c r="J222" s="16">
        <v>0.55494242134868</v>
      </c>
      <c r="K222" s="16">
        <v>-0.49070386491454</v>
      </c>
      <c r="L222" s="16">
        <v>1.84778986531851</v>
      </c>
      <c r="M222" s="16">
        <f t="shared" ref="M222" si="409">M221/L221-1</f>
        <v>-0.526680795358393</v>
      </c>
      <c r="N222" s="16">
        <f t="shared" ref="N222" si="410">N221/M221-1</f>
        <v>0.0631286193773481</v>
      </c>
      <c r="O222" s="16">
        <f t="shared" ref="O222" si="411">O221/N221-1</f>
        <v>0.0489674011208039</v>
      </c>
      <c r="P222" s="16">
        <f t="shared" ref="P222" si="412">P221/O221-1</f>
        <v>0.0533500135226002</v>
      </c>
      <c r="Q222" s="16">
        <f t="shared" ref="Q222" si="413">Q221/P221-1</f>
        <v>0.0570577577356683</v>
      </c>
    </row>
  </sheetData>
  <mergeCells count="9">
    <mergeCell ref="AA5:AC5"/>
    <mergeCell ref="AF5:AH5"/>
    <mergeCell ref="AK5:AM5"/>
    <mergeCell ref="AA14:AC14"/>
    <mergeCell ref="AF14:AH14"/>
    <mergeCell ref="AK14:AM14"/>
    <mergeCell ref="AK15:AN23"/>
    <mergeCell ref="AA15:AD23"/>
    <mergeCell ref="AF15:AI23"/>
  </mergeCell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T1282"/>
  <sheetViews>
    <sheetView showGridLines="0" topLeftCell="A7" workbookViewId="0">
      <selection activeCell="E20" sqref="E20"/>
    </sheetView>
  </sheetViews>
  <sheetFormatPr defaultColWidth="9.25384615384615" defaultRowHeight="18.5"/>
  <cols>
    <col min="1" max="2" width="9.25384615384615" style="100"/>
    <col min="3" max="3" width="14.8769230769231" style="100" customWidth="1"/>
    <col min="4" max="4" width="31.2538461538462" style="100" customWidth="1"/>
    <col min="5" max="5" width="49.6230769230769" style="100" customWidth="1"/>
    <col min="6" max="6" width="17.2538461538462" style="100" customWidth="1"/>
    <col min="7" max="7" width="40.8769230769231" style="100" customWidth="1"/>
    <col min="8" max="8" width="10.3769230769231" style="100" customWidth="1"/>
    <col min="9" max="9" width="10" style="100" customWidth="1"/>
    <col min="10" max="10" width="2.5" style="100" customWidth="1"/>
    <col min="11" max="11" width="15.2538461538462" style="100" customWidth="1"/>
    <col min="12" max="12" width="36.5" style="100" customWidth="1"/>
    <col min="13" max="13" width="43.6230769230769" style="100" customWidth="1"/>
    <col min="14" max="14" width="23.2538461538462" style="100" customWidth="1"/>
    <col min="15" max="15" width="37.2538461538462" style="100" customWidth="1"/>
    <col min="16" max="16" width="10.1230769230769" style="100" customWidth="1"/>
    <col min="17" max="17" width="10.3769230769231" style="100" customWidth="1"/>
    <col min="18" max="18" width="3.12307692307692" style="100" customWidth="1"/>
    <col min="19" max="19" width="15.2538461538462" style="100" customWidth="1"/>
    <col min="20" max="20" width="13.3769230769231" style="100" customWidth="1"/>
    <col min="21" max="16384" width="9.25384615384615" style="100"/>
  </cols>
  <sheetData>
    <row r="3" ht="23.5" spans="3:20">
      <c r="C3" s="101" t="s">
        <v>460</v>
      </c>
      <c r="D3" s="101" t="s">
        <v>26</v>
      </c>
      <c r="F3" s="102"/>
      <c r="K3" s="101" t="s">
        <v>461</v>
      </c>
      <c r="L3" s="101" t="s">
        <v>26</v>
      </c>
      <c r="S3" s="101" t="s">
        <v>462</v>
      </c>
      <c r="T3" s="101" t="s">
        <v>26</v>
      </c>
    </row>
    <row r="4" spans="3:20">
      <c r="C4" s="100" t="s">
        <v>463</v>
      </c>
      <c r="D4" s="103">
        <f>D21</f>
        <v>5.21</v>
      </c>
      <c r="F4" s="102"/>
      <c r="K4" s="100" t="s">
        <v>463</v>
      </c>
      <c r="L4" s="103">
        <f>L21</f>
        <v>28.638</v>
      </c>
      <c r="S4" s="100" t="s">
        <v>463</v>
      </c>
      <c r="T4" s="106">
        <f>T21</f>
        <v>-9.539</v>
      </c>
    </row>
    <row r="5" spans="4:12">
      <c r="D5" s="103"/>
      <c r="F5" s="102"/>
      <c r="L5" s="103"/>
    </row>
    <row r="6" spans="3:20">
      <c r="C6" s="100" t="s">
        <v>464</v>
      </c>
      <c r="D6" s="103">
        <f>MEDIAN(D21:D276)</f>
        <v>8.715</v>
      </c>
      <c r="F6" s="102"/>
      <c r="K6" s="100" t="s">
        <v>464</v>
      </c>
      <c r="L6" s="103">
        <f>MEDIAN(L21:L276)</f>
        <v>26.7295</v>
      </c>
      <c r="S6" s="100" t="s">
        <v>464</v>
      </c>
      <c r="T6" s="103">
        <f>MEDIAN(T21:T276)</f>
        <v>-6.9765</v>
      </c>
    </row>
    <row r="7" spans="3:20">
      <c r="C7" s="100" t="s">
        <v>465</v>
      </c>
      <c r="D7" s="103">
        <f>MEDIAN(D21:D778)</f>
        <v>9.505</v>
      </c>
      <c r="F7" s="102"/>
      <c r="K7" s="100" t="s">
        <v>465</v>
      </c>
      <c r="L7" s="103">
        <f>MEDIAN(L21:L778)</f>
        <v>24.046</v>
      </c>
      <c r="S7" s="100" t="s">
        <v>465</v>
      </c>
      <c r="T7" s="103">
        <f>MEDIAN(T21:T778)</f>
        <v>-5.9785</v>
      </c>
    </row>
    <row r="8" spans="3:20">
      <c r="C8" s="100" t="s">
        <v>466</v>
      </c>
      <c r="D8" s="103">
        <f>MEDIAN(D21:D1282)</f>
        <v>11.195</v>
      </c>
      <c r="F8" s="102"/>
      <c r="K8" s="100" t="s">
        <v>466</v>
      </c>
      <c r="L8" s="103">
        <f>MEDIAN(L21:L1282)</f>
        <v>24.923</v>
      </c>
      <c r="S8" s="100" t="s">
        <v>466</v>
      </c>
      <c r="T8" s="103">
        <f>MEDIAN(T21:T1282)</f>
        <v>-5.0175</v>
      </c>
    </row>
    <row r="9" spans="4:20">
      <c r="D9" s="103"/>
      <c r="F9" s="102"/>
      <c r="L9" s="103"/>
      <c r="T9" s="103"/>
    </row>
    <row r="10" spans="3:20">
      <c r="C10" s="100" t="s">
        <v>467</v>
      </c>
      <c r="D10" s="103">
        <f>MIN(D21:D276)</f>
        <v>5.21</v>
      </c>
      <c r="F10" s="102"/>
      <c r="K10" s="100" t="s">
        <v>467</v>
      </c>
      <c r="L10" s="103">
        <f>MIN(L21:L276)</f>
        <v>23.5</v>
      </c>
      <c r="S10" s="100" t="s">
        <v>467</v>
      </c>
      <c r="T10" s="103">
        <f>MIN(T21:T276)</f>
        <v>-9.567</v>
      </c>
    </row>
    <row r="11" spans="3:20">
      <c r="C11" s="100" t="s">
        <v>468</v>
      </c>
      <c r="D11" s="103">
        <f>MIN(D21:D778)</f>
        <v>5.21</v>
      </c>
      <c r="F11" s="102"/>
      <c r="K11" s="100" t="s">
        <v>468</v>
      </c>
      <c r="L11" s="103">
        <f>MIN(L21:L778)</f>
        <v>20.272</v>
      </c>
      <c r="S11" s="100" t="s">
        <v>468</v>
      </c>
      <c r="T11" s="103">
        <f>MIN(T21:T778)</f>
        <v>-9.567</v>
      </c>
    </row>
    <row r="12" spans="3:20">
      <c r="C12" s="100" t="s">
        <v>469</v>
      </c>
      <c r="D12" s="103">
        <f>MIN(D21:D1282)</f>
        <v>5.21</v>
      </c>
      <c r="F12" s="102"/>
      <c r="K12" s="100" t="s">
        <v>469</v>
      </c>
      <c r="L12" s="103">
        <f>MIN(L21:L1282)</f>
        <v>20.272</v>
      </c>
      <c r="S12" s="100" t="s">
        <v>469</v>
      </c>
      <c r="T12" s="103">
        <f>MIN(T21:T1282)</f>
        <v>-9.567</v>
      </c>
    </row>
    <row r="13" spans="4:20">
      <c r="D13" s="103"/>
      <c r="F13" s="102"/>
      <c r="L13" s="103"/>
      <c r="T13" s="103"/>
    </row>
    <row r="14" spans="3:20">
      <c r="C14" s="100" t="s">
        <v>470</v>
      </c>
      <c r="D14" s="103">
        <f>MAX(D21:D276)</f>
        <v>11.257</v>
      </c>
      <c r="F14" s="102"/>
      <c r="K14" s="100" t="s">
        <v>470</v>
      </c>
      <c r="L14" s="103">
        <f>MAX(L21:L276)</f>
        <v>29.607</v>
      </c>
      <c r="S14" s="100" t="s">
        <v>470</v>
      </c>
      <c r="T14" s="103">
        <f>MAX(T21:T276)</f>
        <v>-5.344</v>
      </c>
    </row>
    <row r="15" spans="3:20">
      <c r="C15" s="100" t="s">
        <v>471</v>
      </c>
      <c r="D15" s="103">
        <f>MAX(D21:D778)</f>
        <v>14.347</v>
      </c>
      <c r="F15" s="102"/>
      <c r="K15" s="100" t="s">
        <v>471</v>
      </c>
      <c r="L15" s="103">
        <f>MAX(L21:L778)</f>
        <v>29.607</v>
      </c>
      <c r="S15" s="100" t="s">
        <v>471</v>
      </c>
      <c r="T15" s="103">
        <f>MAX(T21:T778)</f>
        <v>-3.412</v>
      </c>
    </row>
    <row r="16" spans="3:20">
      <c r="C16" s="100" t="s">
        <v>472</v>
      </c>
      <c r="D16" s="103">
        <f>MAX(D21:D1282)</f>
        <v>36.726</v>
      </c>
      <c r="F16" s="102"/>
      <c r="K16" s="100" t="s">
        <v>472</v>
      </c>
      <c r="L16" s="103">
        <f>MAX(L21:L1282)</f>
        <v>41.418</v>
      </c>
      <c r="S16" s="100" t="s">
        <v>472</v>
      </c>
      <c r="T16" s="103">
        <f>MAX(T21:T1282)</f>
        <v>7.236</v>
      </c>
    </row>
    <row r="17" spans="6:6">
      <c r="F17" s="102"/>
    </row>
    <row r="18" spans="6:6">
      <c r="F18" s="102"/>
    </row>
    <row r="19" spans="6:6">
      <c r="F19" s="102"/>
    </row>
    <row r="20" ht="26" spans="3:20">
      <c r="C20" s="104" t="s">
        <v>473</v>
      </c>
      <c r="D20" s="104" t="s">
        <v>474</v>
      </c>
      <c r="E20" s="104" t="s">
        <v>475</v>
      </c>
      <c r="F20" s="104" t="s">
        <v>476</v>
      </c>
      <c r="G20" s="104" t="s">
        <v>477</v>
      </c>
      <c r="H20" s="507" t="s">
        <v>478</v>
      </c>
      <c r="I20" s="507" t="s">
        <v>479</v>
      </c>
      <c r="K20" s="104" t="s">
        <v>473</v>
      </c>
      <c r="L20" s="104" t="s">
        <v>480</v>
      </c>
      <c r="M20" s="104" t="s">
        <v>475</v>
      </c>
      <c r="N20" s="104" t="s">
        <v>476</v>
      </c>
      <c r="O20" s="104" t="s">
        <v>477</v>
      </c>
      <c r="P20" s="507" t="s">
        <v>478</v>
      </c>
      <c r="Q20" s="507" t="s">
        <v>479</v>
      </c>
      <c r="S20" s="104" t="s">
        <v>473</v>
      </c>
      <c r="T20" s="104" t="s">
        <v>462</v>
      </c>
    </row>
    <row r="21" spans="3:20">
      <c r="C21" s="105">
        <v>45751</v>
      </c>
      <c r="D21" s="106">
        <v>5.21</v>
      </c>
      <c r="E21" s="100">
        <v>12.444</v>
      </c>
      <c r="F21" s="100">
        <v>-58</v>
      </c>
      <c r="G21" s="100">
        <v>-19</v>
      </c>
      <c r="H21" s="100">
        <v>1</v>
      </c>
      <c r="I21" s="100">
        <v>-39</v>
      </c>
      <c r="K21" s="105">
        <v>45751</v>
      </c>
      <c r="L21" s="100">
        <v>28.638</v>
      </c>
      <c r="M21" s="106">
        <v>14.749</v>
      </c>
      <c r="N21" s="100">
        <v>94</v>
      </c>
      <c r="O21" s="100">
        <v>45</v>
      </c>
      <c r="P21" s="100">
        <v>66</v>
      </c>
      <c r="Q21" s="100">
        <v>25</v>
      </c>
      <c r="S21" s="105">
        <v>45751</v>
      </c>
      <c r="T21" s="106">
        <f>D21-M21</f>
        <v>-9.539</v>
      </c>
    </row>
    <row r="22" spans="3:20">
      <c r="C22" s="105">
        <v>45750</v>
      </c>
      <c r="D22" s="106">
        <v>5.21</v>
      </c>
      <c r="E22" s="100">
        <v>12.446</v>
      </c>
      <c r="F22" s="100">
        <v>-58</v>
      </c>
      <c r="G22" s="100">
        <v>-19</v>
      </c>
      <c r="H22" s="100">
        <v>1</v>
      </c>
      <c r="I22" s="100">
        <v>-39</v>
      </c>
      <c r="K22" s="105">
        <v>45750</v>
      </c>
      <c r="L22" s="100">
        <v>28.763</v>
      </c>
      <c r="M22" s="106">
        <v>14.777</v>
      </c>
      <c r="N22" s="100">
        <v>95</v>
      </c>
      <c r="O22" s="100">
        <v>45</v>
      </c>
      <c r="P22" s="100">
        <v>66</v>
      </c>
      <c r="Q22" s="100">
        <v>25</v>
      </c>
      <c r="S22" s="105">
        <v>45750</v>
      </c>
      <c r="T22" s="106">
        <f t="shared" ref="T22:T85" si="0">D22-M22</f>
        <v>-9.567</v>
      </c>
    </row>
    <row r="23" spans="3:20">
      <c r="C23" s="105">
        <v>45749</v>
      </c>
      <c r="D23" s="106">
        <v>5.659</v>
      </c>
      <c r="E23" s="100">
        <v>12.845</v>
      </c>
      <c r="F23" s="100">
        <v>-56</v>
      </c>
      <c r="G23" s="100">
        <v>-19</v>
      </c>
      <c r="H23" s="100">
        <v>1</v>
      </c>
      <c r="I23" s="100">
        <v>-39</v>
      </c>
      <c r="K23" s="105">
        <v>45749</v>
      </c>
      <c r="L23" s="100">
        <v>27.814</v>
      </c>
      <c r="M23" s="106">
        <v>14.983</v>
      </c>
      <c r="N23" s="100">
        <v>86</v>
      </c>
      <c r="O23" s="100">
        <v>45</v>
      </c>
      <c r="P23" s="100">
        <v>66</v>
      </c>
      <c r="Q23" s="100">
        <v>25</v>
      </c>
      <c r="S23" s="105">
        <v>45749</v>
      </c>
      <c r="T23" s="106">
        <f t="shared" si="0"/>
        <v>-9.324</v>
      </c>
    </row>
    <row r="24" spans="3:20">
      <c r="C24" s="105">
        <v>45748</v>
      </c>
      <c r="D24" s="106">
        <v>5.538</v>
      </c>
      <c r="E24" s="100">
        <v>12.729</v>
      </c>
      <c r="F24" s="100">
        <v>-56</v>
      </c>
      <c r="G24" s="100">
        <v>-19</v>
      </c>
      <c r="H24" s="100">
        <v>1</v>
      </c>
      <c r="I24" s="100">
        <v>-39</v>
      </c>
      <c r="K24" s="105">
        <v>45748</v>
      </c>
      <c r="L24" s="100">
        <v>27.507</v>
      </c>
      <c r="M24" s="106">
        <v>14.84</v>
      </c>
      <c r="N24" s="100">
        <v>85</v>
      </c>
      <c r="O24" s="100">
        <v>45</v>
      </c>
      <c r="P24" s="100">
        <v>66</v>
      </c>
      <c r="Q24" s="100">
        <v>25</v>
      </c>
      <c r="S24" s="105">
        <v>45748</v>
      </c>
      <c r="T24" s="106">
        <f t="shared" si="0"/>
        <v>-9.302</v>
      </c>
    </row>
    <row r="25" spans="3:20">
      <c r="C25" s="105">
        <v>45747</v>
      </c>
      <c r="D25" s="106">
        <v>5.421</v>
      </c>
      <c r="E25" s="100">
        <v>12.609</v>
      </c>
      <c r="F25" s="100">
        <v>-57</v>
      </c>
      <c r="G25" s="100">
        <v>-19</v>
      </c>
      <c r="H25" s="100">
        <v>1</v>
      </c>
      <c r="I25" s="100">
        <v>-39</v>
      </c>
      <c r="K25" s="105">
        <v>45747</v>
      </c>
      <c r="L25" s="100">
        <v>27.211</v>
      </c>
      <c r="M25" s="106">
        <v>14.695</v>
      </c>
      <c r="N25" s="100">
        <v>85</v>
      </c>
      <c r="O25" s="100">
        <v>45</v>
      </c>
      <c r="P25" s="100">
        <v>66</v>
      </c>
      <c r="Q25" s="100">
        <v>25</v>
      </c>
      <c r="S25" s="105">
        <v>45747</v>
      </c>
      <c r="T25" s="106">
        <f t="shared" si="0"/>
        <v>-9.274</v>
      </c>
    </row>
    <row r="26" spans="3:20">
      <c r="C26" s="105">
        <v>45744</v>
      </c>
      <c r="D26" s="106">
        <v>5.75</v>
      </c>
      <c r="E26" s="100">
        <v>12.73</v>
      </c>
      <c r="F26" s="100">
        <v>-55</v>
      </c>
      <c r="G26" s="100">
        <v>-19</v>
      </c>
      <c r="H26" s="100">
        <v>1</v>
      </c>
      <c r="I26" s="100">
        <v>-39</v>
      </c>
      <c r="K26" s="105">
        <v>45744</v>
      </c>
      <c r="L26" s="100">
        <v>27.4</v>
      </c>
      <c r="M26" s="106">
        <v>14.825</v>
      </c>
      <c r="N26" s="100">
        <v>85</v>
      </c>
      <c r="O26" s="100">
        <v>45</v>
      </c>
      <c r="P26" s="100">
        <v>66</v>
      </c>
      <c r="Q26" s="100">
        <v>25</v>
      </c>
      <c r="S26" s="105">
        <v>45744</v>
      </c>
      <c r="T26" s="106">
        <f t="shared" si="0"/>
        <v>-9.075</v>
      </c>
    </row>
    <row r="27" spans="3:20">
      <c r="C27" s="105">
        <v>45743</v>
      </c>
      <c r="D27" s="106">
        <v>5.816</v>
      </c>
      <c r="E27" s="100">
        <v>12.796</v>
      </c>
      <c r="F27" s="100">
        <v>-55</v>
      </c>
      <c r="G27" s="100">
        <v>-19</v>
      </c>
      <c r="H27" s="100">
        <v>1</v>
      </c>
      <c r="I27" s="100">
        <v>-39</v>
      </c>
      <c r="K27" s="105">
        <v>45743</v>
      </c>
      <c r="L27" s="100">
        <v>26.904</v>
      </c>
      <c r="M27" s="106">
        <v>14.812</v>
      </c>
      <c r="N27" s="100">
        <v>82</v>
      </c>
      <c r="O27" s="100">
        <v>45</v>
      </c>
      <c r="P27" s="100">
        <v>66</v>
      </c>
      <c r="Q27" s="100">
        <v>25</v>
      </c>
      <c r="S27" s="105">
        <v>45743</v>
      </c>
      <c r="T27" s="106">
        <f t="shared" si="0"/>
        <v>-8.996</v>
      </c>
    </row>
    <row r="28" spans="3:20">
      <c r="C28" s="105">
        <v>45742</v>
      </c>
      <c r="D28" s="106">
        <v>5.831</v>
      </c>
      <c r="E28" s="100">
        <v>12.514</v>
      </c>
      <c r="F28" s="100">
        <v>-53</v>
      </c>
      <c r="G28" s="100">
        <v>-19</v>
      </c>
      <c r="H28" s="100">
        <v>1</v>
      </c>
      <c r="I28" s="100">
        <v>-39</v>
      </c>
      <c r="K28" s="105">
        <v>45742</v>
      </c>
      <c r="L28" s="100">
        <v>26.691</v>
      </c>
      <c r="M28" s="106">
        <v>14.539</v>
      </c>
      <c r="N28" s="100">
        <v>84</v>
      </c>
      <c r="O28" s="100">
        <v>45</v>
      </c>
      <c r="P28" s="100">
        <v>66</v>
      </c>
      <c r="Q28" s="100">
        <v>25</v>
      </c>
      <c r="S28" s="105">
        <v>45742</v>
      </c>
      <c r="T28" s="106">
        <f t="shared" si="0"/>
        <v>-8.708</v>
      </c>
    </row>
    <row r="29" spans="3:20">
      <c r="C29" s="105">
        <v>45741</v>
      </c>
      <c r="D29" s="106">
        <v>5.896</v>
      </c>
      <c r="E29" s="100">
        <v>12.488</v>
      </c>
      <c r="F29" s="100">
        <v>-53</v>
      </c>
      <c r="G29" s="100">
        <v>-19</v>
      </c>
      <c r="H29" s="100">
        <v>1</v>
      </c>
      <c r="I29" s="100">
        <v>-39</v>
      </c>
      <c r="K29" s="105">
        <v>45741</v>
      </c>
      <c r="L29" s="100">
        <v>26.608</v>
      </c>
      <c r="M29" s="106">
        <v>14.505</v>
      </c>
      <c r="N29" s="100">
        <v>83</v>
      </c>
      <c r="O29" s="100">
        <v>45</v>
      </c>
      <c r="P29" s="100">
        <v>66</v>
      </c>
      <c r="Q29" s="100">
        <v>25</v>
      </c>
      <c r="S29" s="105">
        <v>45741</v>
      </c>
      <c r="T29" s="106">
        <f t="shared" si="0"/>
        <v>-8.609</v>
      </c>
    </row>
    <row r="30" spans="3:20">
      <c r="C30" s="105">
        <v>45740</v>
      </c>
      <c r="D30" s="106">
        <v>5.9</v>
      </c>
      <c r="E30" s="100">
        <v>12.563</v>
      </c>
      <c r="F30" s="100">
        <v>-53</v>
      </c>
      <c r="G30" s="100">
        <v>-19</v>
      </c>
      <c r="H30" s="100">
        <v>1</v>
      </c>
      <c r="I30" s="100">
        <v>-39</v>
      </c>
      <c r="K30" s="105">
        <v>45740</v>
      </c>
      <c r="L30" s="100">
        <v>26.704</v>
      </c>
      <c r="M30" s="106">
        <v>14.583</v>
      </c>
      <c r="N30" s="100">
        <v>83</v>
      </c>
      <c r="O30" s="100">
        <v>45</v>
      </c>
      <c r="P30" s="100">
        <v>66</v>
      </c>
      <c r="Q30" s="100">
        <v>25</v>
      </c>
      <c r="S30" s="105">
        <v>45740</v>
      </c>
      <c r="T30" s="106">
        <f t="shared" si="0"/>
        <v>-8.683</v>
      </c>
    </row>
    <row r="31" spans="3:20">
      <c r="C31" s="105">
        <v>45737</v>
      </c>
      <c r="D31" s="106">
        <v>6.025</v>
      </c>
      <c r="E31" s="100">
        <v>12.568</v>
      </c>
      <c r="F31" s="100">
        <v>-52</v>
      </c>
      <c r="G31" s="100">
        <v>-19</v>
      </c>
      <c r="H31" s="100">
        <v>1</v>
      </c>
      <c r="I31" s="100">
        <v>-39</v>
      </c>
      <c r="K31" s="105">
        <v>45737</v>
      </c>
      <c r="L31" s="100">
        <v>26.762</v>
      </c>
      <c r="M31" s="106">
        <v>14.595</v>
      </c>
      <c r="N31" s="100">
        <v>83</v>
      </c>
      <c r="O31" s="100">
        <v>45</v>
      </c>
      <c r="P31" s="100">
        <v>66</v>
      </c>
      <c r="Q31" s="100">
        <v>25</v>
      </c>
      <c r="S31" s="105">
        <v>45737</v>
      </c>
      <c r="T31" s="106">
        <f t="shared" si="0"/>
        <v>-8.57</v>
      </c>
    </row>
    <row r="32" spans="3:20">
      <c r="C32" s="105">
        <v>45736</v>
      </c>
      <c r="D32" s="106">
        <v>6.348</v>
      </c>
      <c r="E32" s="100">
        <v>12.714</v>
      </c>
      <c r="F32" s="100">
        <v>-50</v>
      </c>
      <c r="G32" s="100">
        <v>-19</v>
      </c>
      <c r="H32" s="100">
        <v>1</v>
      </c>
      <c r="I32" s="100">
        <v>-39</v>
      </c>
      <c r="K32" s="105">
        <v>45736</v>
      </c>
      <c r="L32" s="100">
        <v>26.853</v>
      </c>
      <c r="M32" s="106">
        <v>14.734</v>
      </c>
      <c r="N32" s="100">
        <v>82</v>
      </c>
      <c r="O32" s="100">
        <v>45</v>
      </c>
      <c r="P32" s="100">
        <v>66</v>
      </c>
      <c r="Q32" s="100">
        <v>25</v>
      </c>
      <c r="S32" s="105">
        <v>45736</v>
      </c>
      <c r="T32" s="106">
        <f t="shared" si="0"/>
        <v>-8.386</v>
      </c>
    </row>
    <row r="33" spans="3:20">
      <c r="C33" s="105">
        <v>45735</v>
      </c>
      <c r="D33" s="106">
        <v>6.327</v>
      </c>
      <c r="E33" s="100">
        <v>12.693</v>
      </c>
      <c r="F33" s="100">
        <v>-50</v>
      </c>
      <c r="G33" s="100">
        <v>-19</v>
      </c>
      <c r="H33" s="100">
        <v>1</v>
      </c>
      <c r="I33" s="100">
        <v>-39</v>
      </c>
      <c r="K33" s="105">
        <v>45735</v>
      </c>
      <c r="L33" s="100">
        <v>26.15</v>
      </c>
      <c r="M33" s="106">
        <v>14.615</v>
      </c>
      <c r="N33" s="100">
        <v>79</v>
      </c>
      <c r="O33" s="100">
        <v>45</v>
      </c>
      <c r="P33" s="100">
        <v>66</v>
      </c>
      <c r="Q33" s="100">
        <v>25</v>
      </c>
      <c r="S33" s="105">
        <v>45735</v>
      </c>
      <c r="T33" s="106">
        <f t="shared" si="0"/>
        <v>-8.288</v>
      </c>
    </row>
    <row r="34" spans="3:20">
      <c r="C34" s="105">
        <v>45734</v>
      </c>
      <c r="D34" s="106">
        <v>6.203</v>
      </c>
      <c r="E34" s="100">
        <v>12.537</v>
      </c>
      <c r="F34" s="100">
        <v>-51</v>
      </c>
      <c r="G34" s="100">
        <v>-19</v>
      </c>
      <c r="H34" s="100">
        <v>1</v>
      </c>
      <c r="I34" s="100">
        <v>-39</v>
      </c>
      <c r="K34" s="105">
        <v>45734</v>
      </c>
      <c r="L34" s="100">
        <v>25.983</v>
      </c>
      <c r="M34" s="106">
        <v>14.458</v>
      </c>
      <c r="N34" s="100">
        <v>80</v>
      </c>
      <c r="O34" s="100">
        <v>45</v>
      </c>
      <c r="P34" s="100">
        <v>66</v>
      </c>
      <c r="Q34" s="100">
        <v>25</v>
      </c>
      <c r="S34" s="105">
        <v>45734</v>
      </c>
      <c r="T34" s="106">
        <f t="shared" si="0"/>
        <v>-8.255</v>
      </c>
    </row>
    <row r="35" spans="3:20">
      <c r="C35" s="105">
        <v>45733</v>
      </c>
      <c r="D35" s="106">
        <v>5.935</v>
      </c>
      <c r="E35" s="100">
        <v>12.354</v>
      </c>
      <c r="F35" s="100">
        <v>-52</v>
      </c>
      <c r="G35" s="100">
        <v>-19</v>
      </c>
      <c r="H35" s="100">
        <v>1</v>
      </c>
      <c r="I35" s="100">
        <v>-39</v>
      </c>
      <c r="K35" s="105">
        <v>45733</v>
      </c>
      <c r="L35" s="100">
        <v>26.247</v>
      </c>
      <c r="M35" s="106">
        <v>14.339</v>
      </c>
      <c r="N35" s="100">
        <v>83</v>
      </c>
      <c r="O35" s="100">
        <v>45</v>
      </c>
      <c r="P35" s="100">
        <v>66</v>
      </c>
      <c r="Q35" s="100">
        <v>25</v>
      </c>
      <c r="S35" s="105">
        <v>45733</v>
      </c>
      <c r="T35" s="106">
        <f t="shared" si="0"/>
        <v>-8.404</v>
      </c>
    </row>
    <row r="36" spans="3:20">
      <c r="C36" s="105">
        <v>45730</v>
      </c>
      <c r="D36" s="106">
        <v>5.785</v>
      </c>
      <c r="E36" s="100">
        <v>12.268</v>
      </c>
      <c r="F36" s="100">
        <v>-53</v>
      </c>
      <c r="G36" s="100">
        <v>-19</v>
      </c>
      <c r="H36" s="100">
        <v>1</v>
      </c>
      <c r="I36" s="100">
        <v>-39</v>
      </c>
      <c r="K36" s="105">
        <v>45730</v>
      </c>
      <c r="L36" s="100">
        <v>26.282</v>
      </c>
      <c r="M36" s="106">
        <v>14.27</v>
      </c>
      <c r="N36" s="100">
        <v>84</v>
      </c>
      <c r="O36" s="100">
        <v>45</v>
      </c>
      <c r="P36" s="100">
        <v>66</v>
      </c>
      <c r="Q36" s="100">
        <v>25</v>
      </c>
      <c r="S36" s="105">
        <v>45730</v>
      </c>
      <c r="T36" s="106">
        <f t="shared" si="0"/>
        <v>-8.485</v>
      </c>
    </row>
    <row r="37" spans="3:20">
      <c r="C37" s="105">
        <v>45729</v>
      </c>
      <c r="D37" s="106">
        <v>5.68</v>
      </c>
      <c r="E37" s="100">
        <v>12.15</v>
      </c>
      <c r="F37" s="100">
        <v>-53</v>
      </c>
      <c r="G37" s="100">
        <v>-19</v>
      </c>
      <c r="H37" s="100">
        <v>1</v>
      </c>
      <c r="I37" s="100">
        <v>-39</v>
      </c>
      <c r="K37" s="105">
        <v>45729</v>
      </c>
      <c r="L37" s="100">
        <v>26.517</v>
      </c>
      <c r="M37" s="106">
        <v>14.202</v>
      </c>
      <c r="N37" s="100">
        <v>87</v>
      </c>
      <c r="O37" s="100">
        <v>45</v>
      </c>
      <c r="P37" s="100">
        <v>66</v>
      </c>
      <c r="Q37" s="100">
        <v>25</v>
      </c>
      <c r="S37" s="105">
        <v>45729</v>
      </c>
      <c r="T37" s="106">
        <f t="shared" si="0"/>
        <v>-8.522</v>
      </c>
    </row>
    <row r="38" spans="3:20">
      <c r="C38" s="105">
        <v>45728</v>
      </c>
      <c r="D38" s="106">
        <v>5.769</v>
      </c>
      <c r="E38" s="100">
        <v>12.285</v>
      </c>
      <c r="F38" s="100">
        <v>-53</v>
      </c>
      <c r="G38" s="100">
        <v>-19</v>
      </c>
      <c r="H38" s="100">
        <v>1</v>
      </c>
      <c r="I38" s="100">
        <v>-39</v>
      </c>
      <c r="K38" s="105">
        <v>45728</v>
      </c>
      <c r="L38" s="100">
        <v>26.841</v>
      </c>
      <c r="M38" s="106">
        <v>14.365</v>
      </c>
      <c r="N38" s="100">
        <v>87</v>
      </c>
      <c r="O38" s="100">
        <v>45</v>
      </c>
      <c r="P38" s="100">
        <v>66</v>
      </c>
      <c r="Q38" s="100">
        <v>25</v>
      </c>
      <c r="S38" s="105">
        <v>45728</v>
      </c>
      <c r="T38" s="106">
        <f t="shared" si="0"/>
        <v>-8.596</v>
      </c>
    </row>
    <row r="39" spans="3:20">
      <c r="C39" s="105">
        <v>45727</v>
      </c>
      <c r="D39" s="106">
        <v>5.959</v>
      </c>
      <c r="E39" s="100">
        <v>12.793</v>
      </c>
      <c r="F39" s="100">
        <v>-53</v>
      </c>
      <c r="G39" s="100">
        <v>-19</v>
      </c>
      <c r="H39" s="100">
        <v>1</v>
      </c>
      <c r="I39" s="100">
        <v>-39</v>
      </c>
      <c r="K39" s="105">
        <v>45727</v>
      </c>
      <c r="L39" s="100">
        <v>26.471</v>
      </c>
      <c r="M39" s="106">
        <v>14.747</v>
      </c>
      <c r="N39" s="100">
        <v>80</v>
      </c>
      <c r="O39" s="100">
        <v>45</v>
      </c>
      <c r="P39" s="100">
        <v>66</v>
      </c>
      <c r="Q39" s="100">
        <v>25</v>
      </c>
      <c r="S39" s="105">
        <v>45727</v>
      </c>
      <c r="T39" s="106">
        <f t="shared" si="0"/>
        <v>-8.788</v>
      </c>
    </row>
    <row r="40" spans="3:20">
      <c r="C40" s="105">
        <v>45726</v>
      </c>
      <c r="D40" s="106">
        <v>6.153</v>
      </c>
      <c r="E40" s="100">
        <v>13.209</v>
      </c>
      <c r="F40" s="100">
        <v>-53</v>
      </c>
      <c r="G40" s="100">
        <v>-19</v>
      </c>
      <c r="H40" s="100">
        <v>1</v>
      </c>
      <c r="I40" s="100">
        <v>-39</v>
      </c>
      <c r="K40" s="105">
        <v>45726</v>
      </c>
      <c r="L40" s="100">
        <v>25.642</v>
      </c>
      <c r="M40" s="106">
        <v>14.985</v>
      </c>
      <c r="N40" s="100">
        <v>71</v>
      </c>
      <c r="O40" s="100">
        <v>45</v>
      </c>
      <c r="P40" s="100">
        <v>66</v>
      </c>
      <c r="Q40" s="100">
        <v>25</v>
      </c>
      <c r="S40" s="105">
        <v>45726</v>
      </c>
      <c r="T40" s="106">
        <f t="shared" si="0"/>
        <v>-8.832</v>
      </c>
    </row>
    <row r="41" spans="3:20">
      <c r="C41" s="105">
        <v>45723</v>
      </c>
      <c r="D41" s="106">
        <v>6.169</v>
      </c>
      <c r="E41" s="100">
        <v>13.231</v>
      </c>
      <c r="F41" s="100">
        <v>-53</v>
      </c>
      <c r="G41" s="100">
        <v>-19</v>
      </c>
      <c r="H41" s="100">
        <v>1</v>
      </c>
      <c r="I41" s="100">
        <v>-39</v>
      </c>
      <c r="K41" s="105">
        <v>45723</v>
      </c>
      <c r="L41" s="100">
        <v>25.989</v>
      </c>
      <c r="M41" s="106">
        <v>15.053</v>
      </c>
      <c r="N41" s="100">
        <v>73</v>
      </c>
      <c r="O41" s="100">
        <v>45</v>
      </c>
      <c r="P41" s="100">
        <v>66</v>
      </c>
      <c r="Q41" s="100">
        <v>25</v>
      </c>
      <c r="S41" s="105">
        <v>45723</v>
      </c>
      <c r="T41" s="106">
        <f t="shared" si="0"/>
        <v>-8.884</v>
      </c>
    </row>
    <row r="42" spans="3:20">
      <c r="C42" s="105">
        <v>45722</v>
      </c>
      <c r="D42" s="106">
        <v>5.996</v>
      </c>
      <c r="E42" s="100">
        <v>13.143</v>
      </c>
      <c r="F42" s="100">
        <v>-54</v>
      </c>
      <c r="G42" s="100">
        <v>-19</v>
      </c>
      <c r="H42" s="100">
        <v>1</v>
      </c>
      <c r="I42" s="100">
        <v>-39</v>
      </c>
      <c r="K42" s="105">
        <v>45722</v>
      </c>
      <c r="L42" s="100">
        <v>26.183</v>
      </c>
      <c r="M42" s="106">
        <v>15.006</v>
      </c>
      <c r="N42" s="100">
        <v>74</v>
      </c>
      <c r="O42" s="100">
        <v>45</v>
      </c>
      <c r="P42" s="100">
        <v>66</v>
      </c>
      <c r="Q42" s="100">
        <v>25</v>
      </c>
      <c r="S42" s="105">
        <v>45722</v>
      </c>
      <c r="T42" s="106">
        <f t="shared" si="0"/>
        <v>-9.01</v>
      </c>
    </row>
    <row r="43" spans="3:20">
      <c r="C43" s="105">
        <v>45721</v>
      </c>
      <c r="D43" s="106">
        <v>5.984</v>
      </c>
      <c r="E43" s="100">
        <v>13.084</v>
      </c>
      <c r="F43" s="100">
        <v>-54</v>
      </c>
      <c r="G43" s="100">
        <v>-19</v>
      </c>
      <c r="H43" s="100">
        <v>1</v>
      </c>
      <c r="I43" s="100">
        <v>-39</v>
      </c>
      <c r="K43" s="105">
        <v>45721</v>
      </c>
      <c r="L43" s="100">
        <v>27.201</v>
      </c>
      <c r="M43" s="106">
        <v>15.1</v>
      </c>
      <c r="N43" s="100">
        <v>80</v>
      </c>
      <c r="O43" s="100">
        <v>45</v>
      </c>
      <c r="P43" s="100">
        <v>66</v>
      </c>
      <c r="Q43" s="100">
        <v>25</v>
      </c>
      <c r="S43" s="105">
        <v>45721</v>
      </c>
      <c r="T43" s="106">
        <f t="shared" si="0"/>
        <v>-9.116</v>
      </c>
    </row>
    <row r="44" spans="3:20">
      <c r="C44" s="105">
        <v>45720</v>
      </c>
      <c r="D44" s="106">
        <v>6.083</v>
      </c>
      <c r="E44" s="100">
        <v>13.066</v>
      </c>
      <c r="F44" s="100">
        <v>-53</v>
      </c>
      <c r="G44" s="100">
        <v>-19</v>
      </c>
      <c r="H44" s="100">
        <v>1</v>
      </c>
      <c r="I44" s="100">
        <v>-39</v>
      </c>
      <c r="K44" s="105">
        <v>45720</v>
      </c>
      <c r="L44" s="100">
        <v>27.809</v>
      </c>
      <c r="M44" s="106">
        <v>15.172</v>
      </c>
      <c r="N44" s="100">
        <v>83</v>
      </c>
      <c r="O44" s="100">
        <v>45</v>
      </c>
      <c r="P44" s="100">
        <v>66</v>
      </c>
      <c r="Q44" s="100">
        <v>25</v>
      </c>
      <c r="S44" s="105">
        <v>45720</v>
      </c>
      <c r="T44" s="106">
        <f t="shared" si="0"/>
        <v>-9.089</v>
      </c>
    </row>
    <row r="45" spans="3:20">
      <c r="C45" s="105">
        <v>45719</v>
      </c>
      <c r="D45" s="106">
        <v>6.277</v>
      </c>
      <c r="E45" s="100">
        <v>13.293</v>
      </c>
      <c r="F45" s="100">
        <v>-53</v>
      </c>
      <c r="G45" s="100">
        <v>-19</v>
      </c>
      <c r="H45" s="100">
        <v>1</v>
      </c>
      <c r="I45" s="100">
        <v>-39</v>
      </c>
      <c r="K45" s="105">
        <v>45719</v>
      </c>
      <c r="L45" s="100">
        <v>28.14</v>
      </c>
      <c r="M45" s="106">
        <v>15.414</v>
      </c>
      <c r="N45" s="100">
        <v>83</v>
      </c>
      <c r="O45" s="100">
        <v>45</v>
      </c>
      <c r="P45" s="100">
        <v>66</v>
      </c>
      <c r="Q45" s="100">
        <v>25</v>
      </c>
      <c r="S45" s="105">
        <v>45719</v>
      </c>
      <c r="T45" s="106">
        <f t="shared" si="0"/>
        <v>-9.137</v>
      </c>
    </row>
    <row r="46" spans="3:20">
      <c r="C46" s="105">
        <v>45716</v>
      </c>
      <c r="D46" s="106">
        <v>6.199</v>
      </c>
      <c r="E46" s="100">
        <v>13.408</v>
      </c>
      <c r="F46" s="100">
        <v>-54</v>
      </c>
      <c r="G46" s="100">
        <v>-19</v>
      </c>
      <c r="H46" s="100">
        <v>1</v>
      </c>
      <c r="I46" s="100">
        <v>-39</v>
      </c>
      <c r="K46" s="105">
        <v>45716</v>
      </c>
      <c r="L46" s="100">
        <v>28.4</v>
      </c>
      <c r="M46" s="106">
        <v>15.549</v>
      </c>
      <c r="N46" s="100">
        <v>83</v>
      </c>
      <c r="O46" s="100">
        <v>45</v>
      </c>
      <c r="P46" s="100">
        <v>66</v>
      </c>
      <c r="Q46" s="100">
        <v>25</v>
      </c>
      <c r="S46" s="105">
        <v>45716</v>
      </c>
      <c r="T46" s="106">
        <f t="shared" si="0"/>
        <v>-9.35</v>
      </c>
    </row>
    <row r="47" spans="3:20">
      <c r="C47" s="105">
        <v>45715</v>
      </c>
      <c r="D47" s="106">
        <v>6.301</v>
      </c>
      <c r="E47" s="100">
        <v>13.45</v>
      </c>
      <c r="F47" s="100">
        <v>-53</v>
      </c>
      <c r="G47" s="100">
        <v>-19</v>
      </c>
      <c r="H47" s="100">
        <v>1</v>
      </c>
      <c r="I47" s="100">
        <v>-39</v>
      </c>
      <c r="K47" s="105">
        <v>45715</v>
      </c>
      <c r="L47" s="100">
        <v>28.304</v>
      </c>
      <c r="M47" s="106">
        <v>15.572</v>
      </c>
      <c r="N47" s="100">
        <v>82</v>
      </c>
      <c r="O47" s="100">
        <v>45</v>
      </c>
      <c r="P47" s="100">
        <v>66</v>
      </c>
      <c r="Q47" s="100">
        <v>25</v>
      </c>
      <c r="S47" s="105">
        <v>45715</v>
      </c>
      <c r="T47" s="106">
        <f t="shared" si="0"/>
        <v>-9.271</v>
      </c>
    </row>
    <row r="48" spans="3:20">
      <c r="C48" s="105">
        <v>45714</v>
      </c>
      <c r="D48" s="106">
        <v>6.348</v>
      </c>
      <c r="E48" s="100">
        <v>13.59</v>
      </c>
      <c r="F48" s="100">
        <v>-53</v>
      </c>
      <c r="G48" s="100">
        <v>-19</v>
      </c>
      <c r="H48" s="100">
        <v>1</v>
      </c>
      <c r="I48" s="100">
        <v>-39</v>
      </c>
      <c r="K48" s="105">
        <v>45714</v>
      </c>
      <c r="L48" s="100">
        <v>27.035</v>
      </c>
      <c r="M48" s="106">
        <v>15.511</v>
      </c>
      <c r="N48" s="100">
        <v>74</v>
      </c>
      <c r="O48" s="100">
        <v>45</v>
      </c>
      <c r="P48" s="100">
        <v>66</v>
      </c>
      <c r="Q48" s="100">
        <v>25</v>
      </c>
      <c r="S48" s="105">
        <v>45714</v>
      </c>
      <c r="T48" s="106">
        <f t="shared" si="0"/>
        <v>-9.163</v>
      </c>
    </row>
    <row r="49" spans="3:20">
      <c r="C49" s="105">
        <v>45713</v>
      </c>
      <c r="D49" s="106">
        <v>6.301</v>
      </c>
      <c r="E49" s="100">
        <v>13.438</v>
      </c>
      <c r="F49" s="100">
        <v>-53</v>
      </c>
      <c r="G49" s="100">
        <v>-19</v>
      </c>
      <c r="H49" s="100">
        <v>1</v>
      </c>
      <c r="I49" s="100">
        <v>-39</v>
      </c>
      <c r="K49" s="105">
        <v>45713</v>
      </c>
      <c r="L49" s="100">
        <v>27.144</v>
      </c>
      <c r="M49" s="106">
        <v>15.396</v>
      </c>
      <c r="N49" s="100">
        <v>76</v>
      </c>
      <c r="O49" s="100">
        <v>45</v>
      </c>
      <c r="P49" s="100">
        <v>66</v>
      </c>
      <c r="Q49" s="100">
        <v>25</v>
      </c>
      <c r="S49" s="105">
        <v>45713</v>
      </c>
      <c r="T49" s="106">
        <f t="shared" si="0"/>
        <v>-9.095</v>
      </c>
    </row>
    <row r="50" spans="3:20">
      <c r="C50" s="105">
        <v>45712</v>
      </c>
      <c r="D50" s="106">
        <v>6.452</v>
      </c>
      <c r="E50" s="100">
        <v>13.412</v>
      </c>
      <c r="F50" s="100">
        <v>-52</v>
      </c>
      <c r="G50" s="100">
        <v>-19</v>
      </c>
      <c r="H50" s="100">
        <v>1</v>
      </c>
      <c r="I50" s="100">
        <v>-39</v>
      </c>
      <c r="K50" s="105">
        <v>45712</v>
      </c>
      <c r="L50" s="100">
        <v>27.546</v>
      </c>
      <c r="M50" s="106">
        <v>15.431</v>
      </c>
      <c r="N50" s="100">
        <v>79</v>
      </c>
      <c r="O50" s="100">
        <v>45</v>
      </c>
      <c r="P50" s="100">
        <v>66</v>
      </c>
      <c r="Q50" s="100">
        <v>25</v>
      </c>
      <c r="S50" s="105">
        <v>45712</v>
      </c>
      <c r="T50" s="106">
        <f t="shared" si="0"/>
        <v>-8.979</v>
      </c>
    </row>
    <row r="51" spans="3:20">
      <c r="C51" s="105">
        <v>45709</v>
      </c>
      <c r="D51" s="106">
        <v>6.422</v>
      </c>
      <c r="E51" s="100">
        <v>13.399</v>
      </c>
      <c r="F51" s="100">
        <v>-52</v>
      </c>
      <c r="G51" s="100">
        <v>-19</v>
      </c>
      <c r="H51" s="100">
        <v>1</v>
      </c>
      <c r="I51" s="100">
        <v>-39</v>
      </c>
      <c r="K51" s="105">
        <v>45709</v>
      </c>
      <c r="L51" s="100">
        <v>28.263</v>
      </c>
      <c r="M51" s="106">
        <v>15.522</v>
      </c>
      <c r="N51" s="100">
        <v>82</v>
      </c>
      <c r="O51" s="100">
        <v>45</v>
      </c>
      <c r="P51" s="100">
        <v>66</v>
      </c>
      <c r="Q51" s="100">
        <v>25</v>
      </c>
      <c r="S51" s="105">
        <v>45709</v>
      </c>
      <c r="T51" s="106">
        <f t="shared" si="0"/>
        <v>-9.1</v>
      </c>
    </row>
    <row r="52" spans="3:20">
      <c r="C52" s="105">
        <v>45708</v>
      </c>
      <c r="D52" s="106">
        <v>6.416</v>
      </c>
      <c r="E52" s="100">
        <v>13.516</v>
      </c>
      <c r="F52" s="100">
        <v>-53</v>
      </c>
      <c r="G52" s="100">
        <v>-19</v>
      </c>
      <c r="H52" s="100">
        <v>1</v>
      </c>
      <c r="I52" s="100">
        <v>-39</v>
      </c>
      <c r="K52" s="105">
        <v>45708</v>
      </c>
      <c r="L52" s="100">
        <v>28.545</v>
      </c>
      <c r="M52" s="106">
        <v>15.663</v>
      </c>
      <c r="N52" s="100">
        <v>82</v>
      </c>
      <c r="O52" s="100">
        <v>45</v>
      </c>
      <c r="P52" s="100">
        <v>66</v>
      </c>
      <c r="Q52" s="100">
        <v>25</v>
      </c>
      <c r="S52" s="105">
        <v>45708</v>
      </c>
      <c r="T52" s="106">
        <f t="shared" si="0"/>
        <v>-9.247</v>
      </c>
    </row>
    <row r="53" spans="3:20">
      <c r="C53" s="105">
        <v>45707</v>
      </c>
      <c r="D53" s="106">
        <v>6.4</v>
      </c>
      <c r="E53" s="100">
        <v>13.471</v>
      </c>
      <c r="F53" s="100">
        <v>-52</v>
      </c>
      <c r="G53" s="100">
        <v>-19</v>
      </c>
      <c r="H53" s="100">
        <v>1</v>
      </c>
      <c r="I53" s="100">
        <v>-39</v>
      </c>
      <c r="K53" s="105">
        <v>45707</v>
      </c>
      <c r="L53" s="100">
        <v>28.579</v>
      </c>
      <c r="M53" s="106">
        <v>15.629</v>
      </c>
      <c r="N53" s="100">
        <v>83</v>
      </c>
      <c r="O53" s="100">
        <v>45</v>
      </c>
      <c r="P53" s="100">
        <v>66</v>
      </c>
      <c r="Q53" s="100">
        <v>25</v>
      </c>
      <c r="S53" s="105">
        <v>45707</v>
      </c>
      <c r="T53" s="106">
        <f t="shared" si="0"/>
        <v>-9.229</v>
      </c>
    </row>
    <row r="54" spans="3:20">
      <c r="C54" s="105">
        <v>45706</v>
      </c>
      <c r="D54" s="106">
        <v>6.628</v>
      </c>
      <c r="E54" s="100">
        <v>13.812</v>
      </c>
      <c r="F54" s="100">
        <v>-52</v>
      </c>
      <c r="G54" s="100">
        <v>-19</v>
      </c>
      <c r="H54" s="100">
        <v>1</v>
      </c>
      <c r="I54" s="100">
        <v>-39</v>
      </c>
      <c r="K54" s="105">
        <v>45706</v>
      </c>
      <c r="L54" s="100">
        <v>28.554</v>
      </c>
      <c r="M54" s="106">
        <v>15.918</v>
      </c>
      <c r="N54" s="100">
        <v>79</v>
      </c>
      <c r="O54" s="100">
        <v>45</v>
      </c>
      <c r="P54" s="100">
        <v>66</v>
      </c>
      <c r="Q54" s="100">
        <v>25</v>
      </c>
      <c r="S54" s="105">
        <v>45706</v>
      </c>
      <c r="T54" s="106">
        <f t="shared" si="0"/>
        <v>-9.29</v>
      </c>
    </row>
    <row r="55" spans="3:20">
      <c r="C55" s="105">
        <v>45705</v>
      </c>
      <c r="D55" s="106">
        <v>6.778</v>
      </c>
      <c r="E55" s="100">
        <v>13.949</v>
      </c>
      <c r="F55" s="100">
        <v>-51</v>
      </c>
      <c r="G55" s="100">
        <v>-19</v>
      </c>
      <c r="H55" s="100">
        <v>1</v>
      </c>
      <c r="I55" s="100">
        <v>-39</v>
      </c>
      <c r="K55" s="105">
        <v>45705</v>
      </c>
      <c r="L55" s="100">
        <v>28.652</v>
      </c>
      <c r="M55" s="106">
        <v>16.05</v>
      </c>
      <c r="N55" s="100">
        <v>79</v>
      </c>
      <c r="O55" s="100">
        <v>45</v>
      </c>
      <c r="P55" s="100">
        <v>66</v>
      </c>
      <c r="Q55" s="100">
        <v>25</v>
      </c>
      <c r="S55" s="105">
        <v>45705</v>
      </c>
      <c r="T55" s="106">
        <f t="shared" si="0"/>
        <v>-9.272</v>
      </c>
    </row>
    <row r="56" spans="3:20">
      <c r="C56" s="105">
        <v>45702</v>
      </c>
      <c r="D56" s="106">
        <v>6.803</v>
      </c>
      <c r="E56" s="100">
        <v>13.849</v>
      </c>
      <c r="F56" s="100">
        <v>-51</v>
      </c>
      <c r="G56" s="100">
        <v>-19</v>
      </c>
      <c r="H56" s="100">
        <v>1</v>
      </c>
      <c r="I56" s="100">
        <v>-39</v>
      </c>
      <c r="K56" s="105">
        <v>45702</v>
      </c>
      <c r="L56" s="100">
        <v>28.59</v>
      </c>
      <c r="M56" s="106">
        <v>15.955</v>
      </c>
      <c r="N56" s="100">
        <v>79</v>
      </c>
      <c r="O56" s="100">
        <v>45</v>
      </c>
      <c r="P56" s="100">
        <v>66</v>
      </c>
      <c r="Q56" s="100">
        <v>25</v>
      </c>
      <c r="S56" s="105">
        <v>45702</v>
      </c>
      <c r="T56" s="106">
        <f t="shared" si="0"/>
        <v>-9.152</v>
      </c>
    </row>
    <row r="57" spans="3:20">
      <c r="C57" s="105">
        <v>45701</v>
      </c>
      <c r="D57" s="106">
        <v>6.915</v>
      </c>
      <c r="E57" s="100">
        <v>13.885</v>
      </c>
      <c r="F57" s="100">
        <v>-50</v>
      </c>
      <c r="G57" s="100">
        <v>-19</v>
      </c>
      <c r="H57" s="100">
        <v>1</v>
      </c>
      <c r="I57" s="100">
        <v>-39</v>
      </c>
      <c r="K57" s="105">
        <v>45701</v>
      </c>
      <c r="L57" s="100">
        <v>28.541</v>
      </c>
      <c r="M57" s="106">
        <v>15.979</v>
      </c>
      <c r="N57" s="100">
        <v>79</v>
      </c>
      <c r="O57" s="100">
        <v>45</v>
      </c>
      <c r="P57" s="100">
        <v>66</v>
      </c>
      <c r="Q57" s="100">
        <v>25</v>
      </c>
      <c r="S57" s="105">
        <v>45701</v>
      </c>
      <c r="T57" s="106">
        <f t="shared" si="0"/>
        <v>-9.064</v>
      </c>
    </row>
    <row r="58" spans="3:20">
      <c r="C58" s="105">
        <v>45700</v>
      </c>
      <c r="D58" s="106">
        <v>6.886</v>
      </c>
      <c r="E58" s="100">
        <v>13.85</v>
      </c>
      <c r="F58" s="100">
        <v>-50</v>
      </c>
      <c r="G58" s="100">
        <v>-19</v>
      </c>
      <c r="H58" s="100">
        <v>1</v>
      </c>
      <c r="I58" s="100">
        <v>-39</v>
      </c>
      <c r="K58" s="105">
        <v>45700</v>
      </c>
      <c r="L58" s="100">
        <v>28.749</v>
      </c>
      <c r="M58" s="106">
        <v>15.978</v>
      </c>
      <c r="N58" s="100">
        <v>80</v>
      </c>
      <c r="O58" s="100">
        <v>45</v>
      </c>
      <c r="P58" s="100">
        <v>66</v>
      </c>
      <c r="Q58" s="100">
        <v>25</v>
      </c>
      <c r="S58" s="105">
        <v>45700</v>
      </c>
      <c r="T58" s="106">
        <f t="shared" si="0"/>
        <v>-9.092</v>
      </c>
    </row>
    <row r="59" spans="3:20">
      <c r="C59" s="105">
        <v>45699</v>
      </c>
      <c r="D59" s="106">
        <v>6.779</v>
      </c>
      <c r="E59" s="100">
        <v>13.745</v>
      </c>
      <c r="F59" s="100">
        <v>-51</v>
      </c>
      <c r="G59" s="100">
        <v>-19</v>
      </c>
      <c r="H59" s="100">
        <v>1</v>
      </c>
      <c r="I59" s="100">
        <v>-39</v>
      </c>
      <c r="K59" s="105">
        <v>45699</v>
      </c>
      <c r="L59" s="100">
        <v>28.639</v>
      </c>
      <c r="M59" s="106">
        <v>15.873</v>
      </c>
      <c r="N59" s="100">
        <v>80</v>
      </c>
      <c r="O59" s="100">
        <v>45</v>
      </c>
      <c r="P59" s="100">
        <v>66</v>
      </c>
      <c r="Q59" s="100">
        <v>25</v>
      </c>
      <c r="S59" s="105">
        <v>45699</v>
      </c>
      <c r="T59" s="106">
        <f t="shared" si="0"/>
        <v>-9.094</v>
      </c>
    </row>
    <row r="60" spans="3:20">
      <c r="C60" s="105">
        <v>45698</v>
      </c>
      <c r="D60" s="106">
        <v>6.626</v>
      </c>
      <c r="E60" s="100">
        <v>13.596</v>
      </c>
      <c r="F60" s="100">
        <v>-51</v>
      </c>
      <c r="G60" s="100">
        <v>-19</v>
      </c>
      <c r="H60" s="100">
        <v>1</v>
      </c>
      <c r="I60" s="100">
        <v>-39</v>
      </c>
      <c r="K60" s="105">
        <v>45698</v>
      </c>
      <c r="L60" s="100">
        <v>28.651</v>
      </c>
      <c r="M60" s="106">
        <v>15.747</v>
      </c>
      <c r="N60" s="100">
        <v>82</v>
      </c>
      <c r="O60" s="100">
        <v>45</v>
      </c>
      <c r="P60" s="100">
        <v>66</v>
      </c>
      <c r="Q60" s="100">
        <v>25</v>
      </c>
      <c r="S60" s="105">
        <v>45698</v>
      </c>
      <c r="T60" s="106">
        <f t="shared" si="0"/>
        <v>-9.121</v>
      </c>
    </row>
    <row r="61" spans="3:20">
      <c r="C61" s="105">
        <v>45695</v>
      </c>
      <c r="D61" s="106">
        <v>6.518</v>
      </c>
      <c r="E61" s="100">
        <v>13.491</v>
      </c>
      <c r="F61" s="100">
        <v>-52</v>
      </c>
      <c r="G61" s="100">
        <v>-19</v>
      </c>
      <c r="H61" s="100">
        <v>1</v>
      </c>
      <c r="I61" s="100">
        <v>-39</v>
      </c>
      <c r="K61" s="105">
        <v>45695</v>
      </c>
      <c r="L61" s="100">
        <v>28.773</v>
      </c>
      <c r="M61" s="106">
        <v>15.674</v>
      </c>
      <c r="N61" s="100">
        <v>84</v>
      </c>
      <c r="O61" s="100">
        <v>45</v>
      </c>
      <c r="P61" s="100">
        <v>66</v>
      </c>
      <c r="Q61" s="100">
        <v>25</v>
      </c>
      <c r="S61" s="105">
        <v>45695</v>
      </c>
      <c r="T61" s="106">
        <f t="shared" si="0"/>
        <v>-9.156</v>
      </c>
    </row>
    <row r="62" spans="3:20">
      <c r="C62" s="105">
        <v>45694</v>
      </c>
      <c r="D62" s="106">
        <v>6.658</v>
      </c>
      <c r="E62" s="100">
        <v>13.651</v>
      </c>
      <c r="F62" s="100">
        <v>-51</v>
      </c>
      <c r="G62" s="100">
        <v>-19</v>
      </c>
      <c r="H62" s="100">
        <v>1</v>
      </c>
      <c r="I62" s="100">
        <v>-39</v>
      </c>
      <c r="K62" s="105">
        <v>45694</v>
      </c>
      <c r="L62" s="100">
        <v>28.86</v>
      </c>
      <c r="M62" s="106">
        <v>15.824</v>
      </c>
      <c r="N62" s="100">
        <v>82</v>
      </c>
      <c r="O62" s="100">
        <v>45</v>
      </c>
      <c r="P62" s="100">
        <v>66</v>
      </c>
      <c r="Q62" s="100">
        <v>25</v>
      </c>
      <c r="S62" s="105">
        <v>45694</v>
      </c>
      <c r="T62" s="106">
        <f t="shared" si="0"/>
        <v>-9.166</v>
      </c>
    </row>
    <row r="63" spans="3:20">
      <c r="C63" s="105">
        <v>45693</v>
      </c>
      <c r="D63" s="106">
        <v>6.628</v>
      </c>
      <c r="E63" s="100">
        <v>13.459</v>
      </c>
      <c r="F63" s="100">
        <v>-51</v>
      </c>
      <c r="G63" s="100">
        <v>-19</v>
      </c>
      <c r="H63" s="100">
        <v>1</v>
      </c>
      <c r="I63" s="100">
        <v>-39</v>
      </c>
      <c r="K63" s="105">
        <v>45693</v>
      </c>
      <c r="L63" s="100">
        <v>29.46</v>
      </c>
      <c r="M63" s="106">
        <v>15.745</v>
      </c>
      <c r="N63" s="100">
        <v>87</v>
      </c>
      <c r="O63" s="100">
        <v>45</v>
      </c>
      <c r="P63" s="100">
        <v>66</v>
      </c>
      <c r="Q63" s="100">
        <v>25</v>
      </c>
      <c r="S63" s="105">
        <v>45693</v>
      </c>
      <c r="T63" s="106">
        <f t="shared" si="0"/>
        <v>-9.117</v>
      </c>
    </row>
    <row r="64" spans="3:20">
      <c r="C64" s="105">
        <v>45692</v>
      </c>
      <c r="D64" s="106">
        <v>6.656</v>
      </c>
      <c r="E64" s="100">
        <v>13.486</v>
      </c>
      <c r="F64" s="100">
        <v>-51</v>
      </c>
      <c r="G64" s="100">
        <v>-19</v>
      </c>
      <c r="H64" s="100">
        <v>1</v>
      </c>
      <c r="I64" s="100">
        <v>-39</v>
      </c>
      <c r="K64" s="105">
        <v>45692</v>
      </c>
      <c r="L64" s="100">
        <v>29.256</v>
      </c>
      <c r="M64" s="106">
        <v>15.739</v>
      </c>
      <c r="N64" s="100">
        <v>86</v>
      </c>
      <c r="O64" s="100">
        <v>45</v>
      </c>
      <c r="P64" s="100">
        <v>66</v>
      </c>
      <c r="Q64" s="100">
        <v>25</v>
      </c>
      <c r="S64" s="105">
        <v>45692</v>
      </c>
      <c r="T64" s="106">
        <f t="shared" si="0"/>
        <v>-9.083</v>
      </c>
    </row>
    <row r="65" spans="3:20">
      <c r="C65" s="105">
        <v>45691</v>
      </c>
      <c r="D65" s="106">
        <v>6.684</v>
      </c>
      <c r="E65" s="100">
        <v>13.391</v>
      </c>
      <c r="F65" s="100">
        <v>-50</v>
      </c>
      <c r="G65" s="100">
        <v>-19</v>
      </c>
      <c r="H65" s="100">
        <v>1</v>
      </c>
      <c r="I65" s="100">
        <v>-39</v>
      </c>
      <c r="K65" s="105">
        <v>45691</v>
      </c>
      <c r="L65" s="100">
        <v>29.036</v>
      </c>
      <c r="M65" s="106">
        <v>15.626</v>
      </c>
      <c r="N65" s="100">
        <v>86</v>
      </c>
      <c r="O65" s="100">
        <v>45</v>
      </c>
      <c r="P65" s="100">
        <v>66</v>
      </c>
      <c r="Q65" s="100">
        <v>25</v>
      </c>
      <c r="S65" s="105">
        <v>45691</v>
      </c>
      <c r="T65" s="106">
        <f t="shared" si="0"/>
        <v>-8.942</v>
      </c>
    </row>
    <row r="66" spans="3:20">
      <c r="C66" s="105">
        <v>45688</v>
      </c>
      <c r="D66" s="106">
        <v>7.017</v>
      </c>
      <c r="E66" s="100">
        <v>13.676</v>
      </c>
      <c r="F66" s="100">
        <v>-49</v>
      </c>
      <c r="G66" s="100">
        <v>-19</v>
      </c>
      <c r="H66" s="100">
        <v>1</v>
      </c>
      <c r="I66" s="100">
        <v>-39</v>
      </c>
      <c r="K66" s="105">
        <v>45688</v>
      </c>
      <c r="L66" s="100">
        <v>29.394</v>
      </c>
      <c r="M66" s="106">
        <v>15.922</v>
      </c>
      <c r="N66" s="100">
        <v>85</v>
      </c>
      <c r="O66" s="100">
        <v>45</v>
      </c>
      <c r="P66" s="100">
        <v>66</v>
      </c>
      <c r="Q66" s="100">
        <v>25</v>
      </c>
      <c r="S66" s="105">
        <v>45688</v>
      </c>
      <c r="T66" s="106">
        <f t="shared" si="0"/>
        <v>-8.905</v>
      </c>
    </row>
    <row r="67" spans="3:20">
      <c r="C67" s="105">
        <v>45687</v>
      </c>
      <c r="D67" s="106">
        <v>6.866</v>
      </c>
      <c r="E67" s="100">
        <v>13.621</v>
      </c>
      <c r="F67" s="100">
        <v>-50</v>
      </c>
      <c r="G67" s="100">
        <v>-19</v>
      </c>
      <c r="H67" s="100">
        <v>1</v>
      </c>
      <c r="I67" s="100">
        <v>-39</v>
      </c>
      <c r="K67" s="105">
        <v>45687</v>
      </c>
      <c r="L67" s="100">
        <v>29.476</v>
      </c>
      <c r="M67" s="106">
        <v>15.886</v>
      </c>
      <c r="N67" s="100">
        <v>86</v>
      </c>
      <c r="O67" s="100">
        <v>45</v>
      </c>
      <c r="P67" s="100">
        <v>66</v>
      </c>
      <c r="Q67" s="100">
        <v>25</v>
      </c>
      <c r="S67" s="105">
        <v>45687</v>
      </c>
      <c r="T67" s="106">
        <f t="shared" si="0"/>
        <v>-9.02</v>
      </c>
    </row>
    <row r="68" spans="3:20">
      <c r="C68" s="105">
        <v>45686</v>
      </c>
      <c r="D68" s="106">
        <v>6.797</v>
      </c>
      <c r="E68" s="100">
        <v>13.443</v>
      </c>
      <c r="F68" s="100">
        <v>-49</v>
      </c>
      <c r="G68" s="100">
        <v>-19</v>
      </c>
      <c r="H68" s="100">
        <v>1</v>
      </c>
      <c r="I68" s="100">
        <v>-39</v>
      </c>
      <c r="K68" s="105">
        <v>45686</v>
      </c>
      <c r="L68" s="100">
        <v>28.953</v>
      </c>
      <c r="M68" s="106">
        <v>15.659</v>
      </c>
      <c r="N68" s="100">
        <v>85</v>
      </c>
      <c r="O68" s="100">
        <v>45</v>
      </c>
      <c r="P68" s="100">
        <v>66</v>
      </c>
      <c r="Q68" s="100">
        <v>25</v>
      </c>
      <c r="S68" s="105">
        <v>45686</v>
      </c>
      <c r="T68" s="106">
        <f t="shared" si="0"/>
        <v>-8.862</v>
      </c>
    </row>
    <row r="69" spans="3:20">
      <c r="C69" s="105">
        <v>45685</v>
      </c>
      <c r="D69" s="106">
        <v>6.497</v>
      </c>
      <c r="E69" s="100">
        <v>13.205</v>
      </c>
      <c r="F69" s="100">
        <v>-51</v>
      </c>
      <c r="G69" s="100">
        <v>-19</v>
      </c>
      <c r="H69" s="100">
        <v>1</v>
      </c>
      <c r="I69" s="100">
        <v>-39</v>
      </c>
      <c r="K69" s="105">
        <v>45685</v>
      </c>
      <c r="L69" s="100">
        <v>28.678</v>
      </c>
      <c r="M69" s="106">
        <v>15.416</v>
      </c>
      <c r="N69" s="100">
        <v>86</v>
      </c>
      <c r="O69" s="100">
        <v>45</v>
      </c>
      <c r="P69" s="100">
        <v>66</v>
      </c>
      <c r="Q69" s="100">
        <v>25</v>
      </c>
      <c r="S69" s="105">
        <v>45685</v>
      </c>
      <c r="T69" s="106">
        <f t="shared" si="0"/>
        <v>-8.919</v>
      </c>
    </row>
    <row r="70" spans="3:20">
      <c r="C70" s="105">
        <v>45684</v>
      </c>
      <c r="D70" s="106">
        <v>6.412</v>
      </c>
      <c r="E70" s="100">
        <v>12.998</v>
      </c>
      <c r="F70" s="100">
        <v>-51</v>
      </c>
      <c r="G70" s="100">
        <v>-19</v>
      </c>
      <c r="H70" s="100">
        <v>1</v>
      </c>
      <c r="I70" s="100">
        <v>-39</v>
      </c>
      <c r="K70" s="105">
        <v>45684</v>
      </c>
      <c r="L70" s="100">
        <v>28.68</v>
      </c>
      <c r="M70" s="106">
        <v>15.238</v>
      </c>
      <c r="N70" s="100">
        <v>88</v>
      </c>
      <c r="O70" s="100">
        <v>45</v>
      </c>
      <c r="P70" s="100">
        <v>66</v>
      </c>
      <c r="Q70" s="100">
        <v>25</v>
      </c>
      <c r="S70" s="105">
        <v>45684</v>
      </c>
      <c r="T70" s="106">
        <f t="shared" si="0"/>
        <v>-8.826</v>
      </c>
    </row>
    <row r="71" spans="3:20">
      <c r="C71" s="105">
        <v>45681</v>
      </c>
      <c r="D71" s="106">
        <v>6.568</v>
      </c>
      <c r="E71" s="100">
        <v>13.097</v>
      </c>
      <c r="F71" s="100">
        <v>-50</v>
      </c>
      <c r="G71" s="100">
        <v>-19</v>
      </c>
      <c r="H71" s="100">
        <v>1</v>
      </c>
      <c r="I71" s="100">
        <v>-39</v>
      </c>
      <c r="K71" s="105">
        <v>45681</v>
      </c>
      <c r="L71" s="100">
        <v>28.948</v>
      </c>
      <c r="M71" s="106">
        <v>15.362</v>
      </c>
      <c r="N71" s="100">
        <v>88</v>
      </c>
      <c r="O71" s="100">
        <v>45</v>
      </c>
      <c r="P71" s="100">
        <v>66</v>
      </c>
      <c r="Q71" s="100">
        <v>25</v>
      </c>
      <c r="S71" s="105">
        <v>45681</v>
      </c>
      <c r="T71" s="106">
        <f t="shared" si="0"/>
        <v>-8.794</v>
      </c>
    </row>
    <row r="72" spans="3:20">
      <c r="C72" s="105">
        <v>45680</v>
      </c>
      <c r="D72" s="106">
        <v>6.39</v>
      </c>
      <c r="E72" s="100">
        <v>12.973</v>
      </c>
      <c r="F72" s="100">
        <v>-51</v>
      </c>
      <c r="G72" s="100">
        <v>-19</v>
      </c>
      <c r="H72" s="100">
        <v>1</v>
      </c>
      <c r="I72" s="100">
        <v>-39</v>
      </c>
      <c r="K72" s="105">
        <v>45680</v>
      </c>
      <c r="L72" s="100">
        <v>29.4</v>
      </c>
      <c r="M72" s="106">
        <v>15.32</v>
      </c>
      <c r="N72" s="100">
        <v>92</v>
      </c>
      <c r="O72" s="100">
        <v>45</v>
      </c>
      <c r="P72" s="100">
        <v>66</v>
      </c>
      <c r="Q72" s="100">
        <v>25</v>
      </c>
      <c r="S72" s="105">
        <v>45680</v>
      </c>
      <c r="T72" s="106">
        <f t="shared" si="0"/>
        <v>-8.93</v>
      </c>
    </row>
    <row r="73" spans="3:20">
      <c r="C73" s="105">
        <v>45679</v>
      </c>
      <c r="D73" s="106">
        <v>6.491</v>
      </c>
      <c r="E73" s="100">
        <v>13.024</v>
      </c>
      <c r="F73" s="100">
        <v>-50</v>
      </c>
      <c r="G73" s="100">
        <v>-19</v>
      </c>
      <c r="H73" s="100">
        <v>1</v>
      </c>
      <c r="I73" s="100">
        <v>-39</v>
      </c>
      <c r="K73" s="105">
        <v>45679</v>
      </c>
      <c r="L73" s="100">
        <v>29.514</v>
      </c>
      <c r="M73" s="106">
        <v>15.379</v>
      </c>
      <c r="N73" s="100">
        <v>92</v>
      </c>
      <c r="O73" s="100">
        <v>45</v>
      </c>
      <c r="P73" s="100">
        <v>66</v>
      </c>
      <c r="Q73" s="100">
        <v>25</v>
      </c>
      <c r="S73" s="105">
        <v>45679</v>
      </c>
      <c r="T73" s="106">
        <f t="shared" si="0"/>
        <v>-8.888</v>
      </c>
    </row>
    <row r="74" spans="3:20">
      <c r="C74" s="105">
        <v>45678</v>
      </c>
      <c r="D74" s="106">
        <v>6.444</v>
      </c>
      <c r="E74" s="100">
        <v>12.952</v>
      </c>
      <c r="F74" s="100">
        <v>-50</v>
      </c>
      <c r="G74" s="100">
        <v>-19</v>
      </c>
      <c r="H74" s="100">
        <v>1</v>
      </c>
      <c r="I74" s="100">
        <v>-39</v>
      </c>
      <c r="K74" s="105">
        <v>45678</v>
      </c>
      <c r="L74" s="100">
        <v>29.134</v>
      </c>
      <c r="M74" s="106">
        <v>15.263</v>
      </c>
      <c r="N74" s="100">
        <v>91</v>
      </c>
      <c r="O74" s="100">
        <v>45</v>
      </c>
      <c r="P74" s="100">
        <v>66</v>
      </c>
      <c r="Q74" s="100">
        <v>25</v>
      </c>
      <c r="S74" s="105">
        <v>45678</v>
      </c>
      <c r="T74" s="106">
        <f t="shared" si="0"/>
        <v>-8.819</v>
      </c>
    </row>
    <row r="75" spans="3:20">
      <c r="C75" s="105">
        <v>45677</v>
      </c>
      <c r="D75" s="106">
        <v>6.337</v>
      </c>
      <c r="E75" s="100">
        <v>12.844</v>
      </c>
      <c r="F75" s="100">
        <v>-51</v>
      </c>
      <c r="G75" s="100">
        <v>-19</v>
      </c>
      <c r="H75" s="100">
        <v>1</v>
      </c>
      <c r="I75" s="100">
        <v>-39</v>
      </c>
      <c r="K75" s="105">
        <v>45677</v>
      </c>
      <c r="L75" s="100">
        <v>29.017</v>
      </c>
      <c r="M75" s="106">
        <v>15.155</v>
      </c>
      <c r="N75" s="100">
        <v>91</v>
      </c>
      <c r="O75" s="100">
        <v>45</v>
      </c>
      <c r="P75" s="100">
        <v>66</v>
      </c>
      <c r="Q75" s="100">
        <v>25</v>
      </c>
      <c r="S75" s="105">
        <v>45677</v>
      </c>
      <c r="T75" s="106">
        <f t="shared" si="0"/>
        <v>-8.818</v>
      </c>
    </row>
    <row r="76" spans="3:20">
      <c r="C76" s="105">
        <v>45674</v>
      </c>
      <c r="D76" s="106">
        <v>6.459</v>
      </c>
      <c r="E76" s="100">
        <v>12.949</v>
      </c>
      <c r="F76" s="100">
        <v>-50</v>
      </c>
      <c r="G76" s="100">
        <v>-19</v>
      </c>
      <c r="H76" s="100">
        <v>1</v>
      </c>
      <c r="I76" s="100">
        <v>-39</v>
      </c>
      <c r="K76" s="105">
        <v>45674</v>
      </c>
      <c r="L76" s="100">
        <v>29.22</v>
      </c>
      <c r="M76" s="106">
        <v>15.274</v>
      </c>
      <c r="N76" s="100">
        <v>91</v>
      </c>
      <c r="O76" s="100">
        <v>45</v>
      </c>
      <c r="P76" s="100">
        <v>66</v>
      </c>
      <c r="Q76" s="100">
        <v>25</v>
      </c>
      <c r="S76" s="105">
        <v>45674</v>
      </c>
      <c r="T76" s="106">
        <f t="shared" si="0"/>
        <v>-8.815</v>
      </c>
    </row>
    <row r="77" spans="3:20">
      <c r="C77" s="105">
        <v>45673</v>
      </c>
      <c r="D77" s="106">
        <v>6.637</v>
      </c>
      <c r="E77" s="100">
        <v>12.872</v>
      </c>
      <c r="F77" s="100">
        <v>-48</v>
      </c>
      <c r="G77" s="100">
        <v>-19</v>
      </c>
      <c r="H77" s="100">
        <v>1</v>
      </c>
      <c r="I77" s="100">
        <v>-39</v>
      </c>
      <c r="K77" s="105">
        <v>45673</v>
      </c>
      <c r="L77" s="100">
        <v>29.271</v>
      </c>
      <c r="M77" s="106">
        <v>15.215</v>
      </c>
      <c r="N77" s="100">
        <v>92</v>
      </c>
      <c r="O77" s="100">
        <v>45</v>
      </c>
      <c r="P77" s="100">
        <v>66</v>
      </c>
      <c r="Q77" s="100">
        <v>25</v>
      </c>
      <c r="S77" s="105">
        <v>45673</v>
      </c>
      <c r="T77" s="106">
        <f t="shared" si="0"/>
        <v>-8.578</v>
      </c>
    </row>
    <row r="78" spans="3:20">
      <c r="C78" s="105">
        <v>45672</v>
      </c>
      <c r="D78" s="106">
        <v>6.955</v>
      </c>
      <c r="E78" s="100">
        <v>13.029</v>
      </c>
      <c r="F78" s="100">
        <v>-47</v>
      </c>
      <c r="G78" s="100">
        <v>-19</v>
      </c>
      <c r="H78" s="100">
        <v>1</v>
      </c>
      <c r="I78" s="100">
        <v>-39</v>
      </c>
      <c r="K78" s="105">
        <v>45672</v>
      </c>
      <c r="L78" s="100">
        <v>28.824</v>
      </c>
      <c r="M78" s="106">
        <v>15.286</v>
      </c>
      <c r="N78" s="100">
        <v>89</v>
      </c>
      <c r="O78" s="100">
        <v>45</v>
      </c>
      <c r="P78" s="100">
        <v>66</v>
      </c>
      <c r="Q78" s="100">
        <v>25</v>
      </c>
      <c r="S78" s="105">
        <v>45672</v>
      </c>
      <c r="T78" s="106">
        <f t="shared" si="0"/>
        <v>-8.331</v>
      </c>
    </row>
    <row r="79" spans="3:20">
      <c r="C79" s="105">
        <v>45671</v>
      </c>
      <c r="D79" s="106">
        <v>6.387</v>
      </c>
      <c r="E79" s="100">
        <v>12.747</v>
      </c>
      <c r="F79" s="100">
        <v>-50</v>
      </c>
      <c r="G79" s="100">
        <v>-19</v>
      </c>
      <c r="H79" s="100">
        <v>1</v>
      </c>
      <c r="I79" s="100">
        <v>-39</v>
      </c>
      <c r="K79" s="105">
        <v>45671</v>
      </c>
      <c r="L79" s="100">
        <v>28.827</v>
      </c>
      <c r="M79" s="106">
        <v>15.044</v>
      </c>
      <c r="N79" s="100">
        <v>92</v>
      </c>
      <c r="O79" s="100">
        <v>45</v>
      </c>
      <c r="P79" s="100">
        <v>66</v>
      </c>
      <c r="Q79" s="100">
        <v>25</v>
      </c>
      <c r="S79" s="105">
        <v>45671</v>
      </c>
      <c r="T79" s="106">
        <f t="shared" si="0"/>
        <v>-8.657</v>
      </c>
    </row>
    <row r="80" spans="3:20">
      <c r="C80" s="105">
        <v>45670</v>
      </c>
      <c r="D80" s="106">
        <v>6.686</v>
      </c>
      <c r="E80" s="100">
        <v>12.843</v>
      </c>
      <c r="F80" s="100">
        <v>-48</v>
      </c>
      <c r="G80" s="100">
        <v>-19</v>
      </c>
      <c r="H80" s="100">
        <v>1</v>
      </c>
      <c r="I80" s="100">
        <v>-39</v>
      </c>
      <c r="K80" s="105">
        <v>45670</v>
      </c>
      <c r="L80" s="100">
        <v>28.769</v>
      </c>
      <c r="M80" s="106">
        <v>15.118</v>
      </c>
      <c r="N80" s="100">
        <v>90</v>
      </c>
      <c r="O80" s="100">
        <v>45</v>
      </c>
      <c r="P80" s="100">
        <v>66</v>
      </c>
      <c r="Q80" s="100">
        <v>25</v>
      </c>
      <c r="S80" s="105">
        <v>45670</v>
      </c>
      <c r="T80" s="106">
        <f t="shared" si="0"/>
        <v>-8.432</v>
      </c>
    </row>
    <row r="81" spans="3:20">
      <c r="C81" s="105">
        <v>45667</v>
      </c>
      <c r="D81" s="106">
        <v>6.713</v>
      </c>
      <c r="E81" s="100">
        <v>13.013</v>
      </c>
      <c r="F81" s="100">
        <v>-48</v>
      </c>
      <c r="G81" s="100">
        <v>-19</v>
      </c>
      <c r="H81" s="100">
        <v>1</v>
      </c>
      <c r="I81" s="100">
        <v>-39</v>
      </c>
      <c r="K81" s="105">
        <v>45667</v>
      </c>
      <c r="L81" s="100">
        <v>29.133</v>
      </c>
      <c r="M81" s="106">
        <v>15.316</v>
      </c>
      <c r="N81" s="100">
        <v>90</v>
      </c>
      <c r="O81" s="100">
        <v>45</v>
      </c>
      <c r="P81" s="100">
        <v>66</v>
      </c>
      <c r="Q81" s="100">
        <v>25</v>
      </c>
      <c r="S81" s="105">
        <v>45667</v>
      </c>
      <c r="T81" s="106">
        <f t="shared" si="0"/>
        <v>-8.603</v>
      </c>
    </row>
    <row r="82" spans="3:20">
      <c r="C82" s="105">
        <v>45666</v>
      </c>
      <c r="D82" s="106">
        <v>6.926</v>
      </c>
      <c r="E82" s="100">
        <v>13.211</v>
      </c>
      <c r="F82" s="100">
        <v>-48</v>
      </c>
      <c r="G82" s="100">
        <v>-19</v>
      </c>
      <c r="H82" s="100">
        <v>1</v>
      </c>
      <c r="I82" s="100">
        <v>-39</v>
      </c>
      <c r="K82" s="105">
        <v>45666</v>
      </c>
      <c r="L82" s="100">
        <v>29.607</v>
      </c>
      <c r="M82" s="106">
        <v>15.553</v>
      </c>
      <c r="N82" s="100">
        <v>90</v>
      </c>
      <c r="O82" s="100">
        <v>45</v>
      </c>
      <c r="P82" s="100">
        <v>66</v>
      </c>
      <c r="Q82" s="100">
        <v>25</v>
      </c>
      <c r="S82" s="105">
        <v>45666</v>
      </c>
      <c r="T82" s="106">
        <f t="shared" si="0"/>
        <v>-8.627</v>
      </c>
    </row>
    <row r="83" spans="3:20">
      <c r="C83" s="105">
        <v>45665</v>
      </c>
      <c r="D83" s="106">
        <v>6.782</v>
      </c>
      <c r="E83" s="100">
        <v>13.212</v>
      </c>
      <c r="F83" s="100">
        <v>-49</v>
      </c>
      <c r="G83" s="100">
        <v>-19</v>
      </c>
      <c r="H83" s="100">
        <v>1</v>
      </c>
      <c r="I83" s="100">
        <v>-39</v>
      </c>
      <c r="K83" s="105">
        <v>45665</v>
      </c>
      <c r="L83" s="100">
        <v>28.998</v>
      </c>
      <c r="M83" s="106">
        <v>15.467</v>
      </c>
      <c r="N83" s="100">
        <v>87</v>
      </c>
      <c r="O83" s="100">
        <v>45</v>
      </c>
      <c r="P83" s="100">
        <v>66</v>
      </c>
      <c r="Q83" s="100">
        <v>25</v>
      </c>
      <c r="S83" s="105">
        <v>45665</v>
      </c>
      <c r="T83" s="106">
        <f t="shared" si="0"/>
        <v>-8.685</v>
      </c>
    </row>
    <row r="84" spans="3:20">
      <c r="C84" s="105">
        <v>45664</v>
      </c>
      <c r="D84" s="106">
        <v>7.06</v>
      </c>
      <c r="E84" s="100">
        <v>13.44</v>
      </c>
      <c r="F84" s="100">
        <v>-47</v>
      </c>
      <c r="G84" s="100">
        <v>-19</v>
      </c>
      <c r="H84" s="100">
        <v>1</v>
      </c>
      <c r="I84" s="100">
        <v>-39</v>
      </c>
      <c r="K84" s="105">
        <v>45664</v>
      </c>
      <c r="L84" s="100">
        <v>28.56</v>
      </c>
      <c r="M84" s="106">
        <v>15.6</v>
      </c>
      <c r="N84" s="100">
        <v>83</v>
      </c>
      <c r="O84" s="100">
        <v>45</v>
      </c>
      <c r="P84" s="100">
        <v>66</v>
      </c>
      <c r="Q84" s="100">
        <v>25</v>
      </c>
      <c r="S84" s="105">
        <v>45664</v>
      </c>
      <c r="T84" s="106">
        <f t="shared" si="0"/>
        <v>-8.54</v>
      </c>
    </row>
    <row r="85" spans="3:20">
      <c r="C85" s="105">
        <v>45663</v>
      </c>
      <c r="D85" s="106">
        <v>6.816</v>
      </c>
      <c r="E85" s="100">
        <v>13.249</v>
      </c>
      <c r="F85" s="100">
        <v>-49</v>
      </c>
      <c r="G85" s="100">
        <v>-19</v>
      </c>
      <c r="H85" s="100">
        <v>1</v>
      </c>
      <c r="I85" s="100">
        <v>-39</v>
      </c>
      <c r="K85" s="105">
        <v>45663</v>
      </c>
      <c r="L85" s="100">
        <v>28.312</v>
      </c>
      <c r="M85" s="106">
        <v>15.401</v>
      </c>
      <c r="N85" s="100">
        <v>84</v>
      </c>
      <c r="O85" s="100">
        <v>45</v>
      </c>
      <c r="P85" s="100">
        <v>66</v>
      </c>
      <c r="Q85" s="100">
        <v>25</v>
      </c>
      <c r="S85" s="105">
        <v>45663</v>
      </c>
      <c r="T85" s="106">
        <f t="shared" si="0"/>
        <v>-8.585</v>
      </c>
    </row>
    <row r="86" spans="3:20">
      <c r="C86" s="105">
        <v>45660</v>
      </c>
      <c r="D86" s="106">
        <v>6.515</v>
      </c>
      <c r="E86" s="100">
        <v>13.085</v>
      </c>
      <c r="F86" s="100">
        <v>-50</v>
      </c>
      <c r="G86" s="100">
        <v>-19</v>
      </c>
      <c r="H86" s="100">
        <v>1</v>
      </c>
      <c r="I86" s="100">
        <v>-39</v>
      </c>
      <c r="K86" s="105">
        <v>45660</v>
      </c>
      <c r="L86" s="100">
        <v>28.592</v>
      </c>
      <c r="M86" s="106">
        <v>15.301</v>
      </c>
      <c r="N86" s="100">
        <v>87</v>
      </c>
      <c r="O86" s="100">
        <v>45</v>
      </c>
      <c r="P86" s="100">
        <v>66</v>
      </c>
      <c r="Q86" s="100">
        <v>25</v>
      </c>
      <c r="S86" s="105">
        <v>45660</v>
      </c>
      <c r="T86" s="106">
        <f t="shared" ref="T86:T149" si="1">D86-M86</f>
        <v>-8.786</v>
      </c>
    </row>
    <row r="87" spans="3:20">
      <c r="C87" s="105">
        <v>45659</v>
      </c>
      <c r="D87" s="106">
        <v>6.585</v>
      </c>
      <c r="E87" s="100">
        <v>13.291</v>
      </c>
      <c r="F87" s="100">
        <v>-50</v>
      </c>
      <c r="G87" s="100">
        <v>-19</v>
      </c>
      <c r="H87" s="100">
        <v>1</v>
      </c>
      <c r="I87" s="100">
        <v>-39</v>
      </c>
      <c r="K87" s="105">
        <v>45659</v>
      </c>
      <c r="L87" s="100">
        <v>28.717</v>
      </c>
      <c r="M87" s="106">
        <v>15.495</v>
      </c>
      <c r="N87" s="100">
        <v>85</v>
      </c>
      <c r="O87" s="100">
        <v>45</v>
      </c>
      <c r="P87" s="100">
        <v>66</v>
      </c>
      <c r="Q87" s="100">
        <v>25</v>
      </c>
      <c r="S87" s="105">
        <v>45659</v>
      </c>
      <c r="T87" s="106">
        <f t="shared" si="1"/>
        <v>-8.91</v>
      </c>
    </row>
    <row r="88" spans="3:20">
      <c r="C88" s="105">
        <v>45657</v>
      </c>
      <c r="D88" s="106">
        <v>6.645</v>
      </c>
      <c r="E88" s="100">
        <v>13.26</v>
      </c>
      <c r="F88" s="100">
        <v>-50</v>
      </c>
      <c r="G88" s="100">
        <v>-19</v>
      </c>
      <c r="H88" s="100">
        <v>1</v>
      </c>
      <c r="I88" s="100">
        <v>-39</v>
      </c>
      <c r="K88" s="105">
        <v>45657</v>
      </c>
      <c r="L88" s="100">
        <v>28.283</v>
      </c>
      <c r="M88" s="106">
        <v>15.406</v>
      </c>
      <c r="N88" s="100">
        <v>84</v>
      </c>
      <c r="O88" s="100">
        <v>45</v>
      </c>
      <c r="P88" s="100">
        <v>66</v>
      </c>
      <c r="Q88" s="100">
        <v>25</v>
      </c>
      <c r="S88" s="105">
        <v>45657</v>
      </c>
      <c r="T88" s="106">
        <f t="shared" si="1"/>
        <v>-8.761</v>
      </c>
    </row>
    <row r="89" spans="3:20">
      <c r="C89" s="105">
        <v>45656</v>
      </c>
      <c r="D89" s="106">
        <v>6.435</v>
      </c>
      <c r="E89" s="100">
        <v>13.223</v>
      </c>
      <c r="F89" s="100">
        <v>-51</v>
      </c>
      <c r="G89" s="100">
        <v>-19</v>
      </c>
      <c r="H89" s="100">
        <v>1</v>
      </c>
      <c r="I89" s="100">
        <v>-39</v>
      </c>
      <c r="K89" s="105">
        <v>45656</v>
      </c>
      <c r="L89" s="100">
        <v>28.333</v>
      </c>
      <c r="M89" s="106">
        <v>15.382</v>
      </c>
      <c r="N89" s="100">
        <v>84</v>
      </c>
      <c r="O89" s="100">
        <v>45</v>
      </c>
      <c r="P89" s="100">
        <v>66</v>
      </c>
      <c r="Q89" s="100">
        <v>25</v>
      </c>
      <c r="S89" s="105">
        <v>45656</v>
      </c>
      <c r="T89" s="106">
        <f t="shared" si="1"/>
        <v>-8.947</v>
      </c>
    </row>
    <row r="90" spans="3:20">
      <c r="C90" s="105">
        <v>45653</v>
      </c>
      <c r="D90" s="106">
        <v>6.519</v>
      </c>
      <c r="E90" s="100">
        <v>13.233</v>
      </c>
      <c r="F90" s="100">
        <v>-51</v>
      </c>
      <c r="G90" s="100">
        <v>-19</v>
      </c>
      <c r="H90" s="100">
        <v>1</v>
      </c>
      <c r="I90" s="100">
        <v>-39</v>
      </c>
      <c r="K90" s="105">
        <v>45653</v>
      </c>
      <c r="L90" s="100">
        <v>28.421</v>
      </c>
      <c r="M90" s="106">
        <v>15.403</v>
      </c>
      <c r="N90" s="100">
        <v>85</v>
      </c>
      <c r="O90" s="100">
        <v>45</v>
      </c>
      <c r="P90" s="100">
        <v>66</v>
      </c>
      <c r="Q90" s="100">
        <v>25</v>
      </c>
      <c r="S90" s="105">
        <v>45653</v>
      </c>
      <c r="T90" s="106">
        <f t="shared" si="1"/>
        <v>-8.884</v>
      </c>
    </row>
    <row r="91" spans="3:20">
      <c r="C91" s="105">
        <v>45650</v>
      </c>
      <c r="D91" s="106">
        <v>6.593</v>
      </c>
      <c r="E91" s="100">
        <v>13.328</v>
      </c>
      <c r="F91" s="100">
        <v>-51</v>
      </c>
      <c r="G91" s="100">
        <v>-19</v>
      </c>
      <c r="H91" s="100">
        <v>1</v>
      </c>
      <c r="I91" s="100">
        <v>-39</v>
      </c>
      <c r="K91" s="105">
        <v>45650</v>
      </c>
      <c r="L91" s="100">
        <v>28.446</v>
      </c>
      <c r="M91" s="106">
        <v>15.488</v>
      </c>
      <c r="N91" s="100">
        <v>84</v>
      </c>
      <c r="O91" s="100">
        <v>45</v>
      </c>
      <c r="P91" s="100">
        <v>66</v>
      </c>
      <c r="Q91" s="100">
        <v>25</v>
      </c>
      <c r="S91" s="105">
        <v>45650</v>
      </c>
      <c r="T91" s="106">
        <f t="shared" si="1"/>
        <v>-8.895</v>
      </c>
    </row>
    <row r="92" spans="3:20">
      <c r="C92" s="105">
        <v>45649</v>
      </c>
      <c r="D92" s="106">
        <v>6.538</v>
      </c>
      <c r="E92" s="100">
        <v>13.276</v>
      </c>
      <c r="F92" s="100">
        <v>-51</v>
      </c>
      <c r="G92" s="100">
        <v>-19</v>
      </c>
      <c r="H92" s="100">
        <v>1</v>
      </c>
      <c r="I92" s="100">
        <v>-39</v>
      </c>
      <c r="K92" s="105">
        <v>45649</v>
      </c>
      <c r="L92" s="100">
        <v>28.259</v>
      </c>
      <c r="M92" s="106">
        <v>15.416</v>
      </c>
      <c r="N92" s="100">
        <v>83</v>
      </c>
      <c r="O92" s="100">
        <v>45</v>
      </c>
      <c r="P92" s="100">
        <v>66</v>
      </c>
      <c r="Q92" s="100">
        <v>25</v>
      </c>
      <c r="S92" s="105">
        <v>45649</v>
      </c>
      <c r="T92" s="106">
        <f t="shared" si="1"/>
        <v>-8.878</v>
      </c>
    </row>
    <row r="93" spans="3:20">
      <c r="C93" s="105">
        <v>45646</v>
      </c>
      <c r="D93" s="106">
        <v>6.606</v>
      </c>
      <c r="E93" s="100">
        <v>13.394</v>
      </c>
      <c r="F93" s="100">
        <v>-51</v>
      </c>
      <c r="G93" s="100">
        <v>-19</v>
      </c>
      <c r="H93" s="100">
        <v>1</v>
      </c>
      <c r="I93" s="100">
        <v>-39</v>
      </c>
      <c r="K93" s="105">
        <v>45646</v>
      </c>
      <c r="L93" s="100">
        <v>28.473</v>
      </c>
      <c r="M93" s="106">
        <v>15.548</v>
      </c>
      <c r="N93" s="100">
        <v>83</v>
      </c>
      <c r="O93" s="100">
        <v>45</v>
      </c>
      <c r="P93" s="100">
        <v>66</v>
      </c>
      <c r="Q93" s="100">
        <v>25</v>
      </c>
      <c r="S93" s="105">
        <v>45646</v>
      </c>
      <c r="T93" s="106">
        <f t="shared" si="1"/>
        <v>-8.942</v>
      </c>
    </row>
    <row r="94" spans="3:20">
      <c r="C94" s="105">
        <v>45645</v>
      </c>
      <c r="D94" s="106">
        <v>6.755</v>
      </c>
      <c r="E94" s="100">
        <v>13.28</v>
      </c>
      <c r="F94" s="100">
        <v>-49</v>
      </c>
      <c r="G94" s="100">
        <v>-19</v>
      </c>
      <c r="H94" s="100">
        <v>1</v>
      </c>
      <c r="I94" s="100">
        <v>-39</v>
      </c>
      <c r="K94" s="105">
        <v>45645</v>
      </c>
      <c r="L94" s="100">
        <v>28.848</v>
      </c>
      <c r="M94" s="106">
        <v>15.504</v>
      </c>
      <c r="N94" s="100">
        <v>86</v>
      </c>
      <c r="O94" s="100">
        <v>45</v>
      </c>
      <c r="P94" s="100">
        <v>66</v>
      </c>
      <c r="Q94" s="100">
        <v>25</v>
      </c>
      <c r="S94" s="105">
        <v>45645</v>
      </c>
      <c r="T94" s="106">
        <f t="shared" si="1"/>
        <v>-8.749</v>
      </c>
    </row>
    <row r="95" spans="3:20">
      <c r="C95" s="105">
        <v>45644</v>
      </c>
      <c r="D95" s="106">
        <v>6.778</v>
      </c>
      <c r="E95" s="100">
        <v>13.333</v>
      </c>
      <c r="F95" s="100">
        <v>-49</v>
      </c>
      <c r="G95" s="100">
        <v>-19</v>
      </c>
      <c r="H95" s="100">
        <v>1</v>
      </c>
      <c r="I95" s="100">
        <v>-39</v>
      </c>
      <c r="K95" s="105">
        <v>45644</v>
      </c>
      <c r="L95" s="100">
        <v>29.002</v>
      </c>
      <c r="M95" s="106">
        <v>15.571</v>
      </c>
      <c r="N95" s="100">
        <v>86</v>
      </c>
      <c r="O95" s="100">
        <v>45</v>
      </c>
      <c r="P95" s="100">
        <v>66</v>
      </c>
      <c r="Q95" s="100">
        <v>25</v>
      </c>
      <c r="S95" s="105">
        <v>45644</v>
      </c>
      <c r="T95" s="106">
        <f t="shared" si="1"/>
        <v>-8.793</v>
      </c>
    </row>
    <row r="96" spans="3:20">
      <c r="C96" s="105">
        <v>45643</v>
      </c>
      <c r="D96" s="106">
        <v>6.702</v>
      </c>
      <c r="E96" s="100">
        <v>13.288</v>
      </c>
      <c r="F96" s="100">
        <v>-50</v>
      </c>
      <c r="G96" s="100">
        <v>-19</v>
      </c>
      <c r="H96" s="100">
        <v>1</v>
      </c>
      <c r="I96" s="100">
        <v>-39</v>
      </c>
      <c r="K96" s="105">
        <v>45643</v>
      </c>
      <c r="L96" s="100">
        <v>29.128</v>
      </c>
      <c r="M96" s="106">
        <v>15.551</v>
      </c>
      <c r="N96" s="100">
        <v>87</v>
      </c>
      <c r="O96" s="100">
        <v>45</v>
      </c>
      <c r="P96" s="100">
        <v>66</v>
      </c>
      <c r="Q96" s="100">
        <v>25</v>
      </c>
      <c r="S96" s="105">
        <v>45643</v>
      </c>
      <c r="T96" s="106">
        <f t="shared" si="1"/>
        <v>-8.849</v>
      </c>
    </row>
    <row r="97" spans="3:20">
      <c r="C97" s="105">
        <v>45642</v>
      </c>
      <c r="D97" s="106">
        <v>6.896</v>
      </c>
      <c r="E97" s="100">
        <v>13.442</v>
      </c>
      <c r="F97" s="100">
        <v>-49</v>
      </c>
      <c r="G97" s="100">
        <v>-19</v>
      </c>
      <c r="H97" s="100">
        <v>1</v>
      </c>
      <c r="I97" s="100">
        <v>-39</v>
      </c>
      <c r="K97" s="105">
        <v>45642</v>
      </c>
      <c r="L97" s="100">
        <v>29.078</v>
      </c>
      <c r="M97" s="106">
        <v>15.676</v>
      </c>
      <c r="N97" s="100">
        <v>85</v>
      </c>
      <c r="O97" s="100">
        <v>45</v>
      </c>
      <c r="P97" s="100">
        <v>66</v>
      </c>
      <c r="Q97" s="100">
        <v>25</v>
      </c>
      <c r="S97" s="105">
        <v>45642</v>
      </c>
      <c r="T97" s="106">
        <f t="shared" si="1"/>
        <v>-8.78</v>
      </c>
    </row>
    <row r="98" spans="3:20">
      <c r="C98" s="105">
        <v>45639</v>
      </c>
      <c r="D98" s="106">
        <v>6.975</v>
      </c>
      <c r="E98" s="100">
        <v>13.46</v>
      </c>
      <c r="F98" s="100">
        <v>-48</v>
      </c>
      <c r="G98" s="100">
        <v>-19</v>
      </c>
      <c r="H98" s="100">
        <v>1</v>
      </c>
      <c r="I98" s="100">
        <v>-39</v>
      </c>
      <c r="K98" s="105">
        <v>45639</v>
      </c>
      <c r="L98" s="100">
        <v>28.775</v>
      </c>
      <c r="M98" s="106">
        <v>15.648</v>
      </c>
      <c r="N98" s="100">
        <v>84</v>
      </c>
      <c r="O98" s="100">
        <v>45</v>
      </c>
      <c r="P98" s="100">
        <v>66</v>
      </c>
      <c r="Q98" s="100">
        <v>25</v>
      </c>
      <c r="S98" s="105">
        <v>45639</v>
      </c>
      <c r="T98" s="106">
        <f t="shared" si="1"/>
        <v>-8.673</v>
      </c>
    </row>
    <row r="99" spans="3:20">
      <c r="C99" s="105">
        <v>45638</v>
      </c>
      <c r="D99" s="106">
        <v>7.114</v>
      </c>
      <c r="E99" s="100">
        <v>13.416</v>
      </c>
      <c r="F99" s="100">
        <v>-47</v>
      </c>
      <c r="G99" s="100">
        <v>-19</v>
      </c>
      <c r="H99" s="100">
        <v>1</v>
      </c>
      <c r="I99" s="100">
        <v>-39</v>
      </c>
      <c r="K99" s="105">
        <v>45638</v>
      </c>
      <c r="L99" s="100">
        <v>28.742</v>
      </c>
      <c r="M99" s="106">
        <v>15.606</v>
      </c>
      <c r="N99" s="100">
        <v>84</v>
      </c>
      <c r="O99" s="100">
        <v>45</v>
      </c>
      <c r="P99" s="100">
        <v>66</v>
      </c>
      <c r="Q99" s="100">
        <v>25</v>
      </c>
      <c r="S99" s="105">
        <v>45638</v>
      </c>
      <c r="T99" s="106">
        <f t="shared" si="1"/>
        <v>-8.492</v>
      </c>
    </row>
    <row r="100" spans="3:20">
      <c r="C100" s="105">
        <v>45637</v>
      </c>
      <c r="D100" s="106">
        <v>7.156</v>
      </c>
      <c r="E100" s="100">
        <v>13.555</v>
      </c>
      <c r="F100" s="100">
        <v>-47</v>
      </c>
      <c r="G100" s="100">
        <v>-19</v>
      </c>
      <c r="H100" s="100">
        <v>1</v>
      </c>
      <c r="I100" s="100">
        <v>-39</v>
      </c>
      <c r="K100" s="105">
        <v>45637</v>
      </c>
      <c r="L100" s="100">
        <v>28.641</v>
      </c>
      <c r="M100" s="106">
        <v>15.71</v>
      </c>
      <c r="N100" s="100">
        <v>82</v>
      </c>
      <c r="O100" s="100">
        <v>45</v>
      </c>
      <c r="P100" s="100">
        <v>66</v>
      </c>
      <c r="Q100" s="100">
        <v>25</v>
      </c>
      <c r="S100" s="105">
        <v>45637</v>
      </c>
      <c r="T100" s="106">
        <f t="shared" si="1"/>
        <v>-8.554</v>
      </c>
    </row>
    <row r="101" spans="3:20">
      <c r="C101" s="105">
        <v>45636</v>
      </c>
      <c r="D101" s="106">
        <v>7.163</v>
      </c>
      <c r="E101" s="100">
        <v>13.917</v>
      </c>
      <c r="F101" s="100">
        <v>-49</v>
      </c>
      <c r="G101" s="100">
        <v>-19</v>
      </c>
      <c r="H101" s="100">
        <v>1</v>
      </c>
      <c r="I101" s="100">
        <v>-39</v>
      </c>
      <c r="K101" s="105">
        <v>45636</v>
      </c>
      <c r="L101" s="100">
        <v>28.318</v>
      </c>
      <c r="M101" s="106">
        <v>15.974</v>
      </c>
      <c r="N101" s="100">
        <v>77</v>
      </c>
      <c r="O101" s="100">
        <v>45</v>
      </c>
      <c r="P101" s="100">
        <v>66</v>
      </c>
      <c r="Q101" s="100">
        <v>25</v>
      </c>
      <c r="S101" s="105">
        <v>45636</v>
      </c>
      <c r="T101" s="106">
        <f t="shared" si="1"/>
        <v>-8.811</v>
      </c>
    </row>
    <row r="102" spans="3:20">
      <c r="C102" s="105">
        <v>45635</v>
      </c>
      <c r="D102" s="106">
        <v>7.296</v>
      </c>
      <c r="E102" s="100">
        <v>13.964</v>
      </c>
      <c r="F102" s="100">
        <v>-48</v>
      </c>
      <c r="G102" s="100">
        <v>-19</v>
      </c>
      <c r="H102" s="100">
        <v>1</v>
      </c>
      <c r="I102" s="100">
        <v>-39</v>
      </c>
      <c r="K102" s="105">
        <v>45635</v>
      </c>
      <c r="L102" s="100">
        <v>28.362</v>
      </c>
      <c r="M102" s="106">
        <v>16.021</v>
      </c>
      <c r="N102" s="100">
        <v>77</v>
      </c>
      <c r="O102" s="100">
        <v>45</v>
      </c>
      <c r="P102" s="100">
        <v>66</v>
      </c>
      <c r="Q102" s="100">
        <v>25</v>
      </c>
      <c r="S102" s="105">
        <v>45635</v>
      </c>
      <c r="T102" s="106">
        <f t="shared" si="1"/>
        <v>-8.725</v>
      </c>
    </row>
    <row r="103" spans="3:20">
      <c r="C103" s="105">
        <v>45632</v>
      </c>
      <c r="D103" s="106">
        <v>7.314</v>
      </c>
      <c r="E103" s="100">
        <v>14.034</v>
      </c>
      <c r="F103" s="100">
        <v>-48</v>
      </c>
      <c r="G103" s="100">
        <v>-19</v>
      </c>
      <c r="H103" s="100">
        <v>1</v>
      </c>
      <c r="I103" s="100">
        <v>-39</v>
      </c>
      <c r="K103" s="105">
        <v>45632</v>
      </c>
      <c r="L103" s="100">
        <v>28.795</v>
      </c>
      <c r="M103" s="106">
        <v>16.143</v>
      </c>
      <c r="N103" s="100">
        <v>78</v>
      </c>
      <c r="O103" s="100">
        <v>45</v>
      </c>
      <c r="P103" s="100">
        <v>66</v>
      </c>
      <c r="Q103" s="100">
        <v>25</v>
      </c>
      <c r="S103" s="105">
        <v>45632</v>
      </c>
      <c r="T103" s="106">
        <f t="shared" si="1"/>
        <v>-8.829</v>
      </c>
    </row>
    <row r="104" spans="3:20">
      <c r="C104" s="105">
        <v>45631</v>
      </c>
      <c r="D104" s="106">
        <v>7.16</v>
      </c>
      <c r="E104" s="100">
        <v>14.014</v>
      </c>
      <c r="F104" s="100">
        <v>-49</v>
      </c>
      <c r="G104" s="100">
        <v>-19</v>
      </c>
      <c r="H104" s="100">
        <v>1</v>
      </c>
      <c r="I104" s="100">
        <v>-39</v>
      </c>
      <c r="K104" s="105">
        <v>45631</v>
      </c>
      <c r="L104" s="100">
        <v>28.991</v>
      </c>
      <c r="M104" s="106">
        <v>16.154</v>
      </c>
      <c r="N104" s="100">
        <v>79</v>
      </c>
      <c r="O104" s="100">
        <v>45</v>
      </c>
      <c r="P104" s="100">
        <v>66</v>
      </c>
      <c r="Q104" s="100">
        <v>25</v>
      </c>
      <c r="S104" s="105">
        <v>45631</v>
      </c>
      <c r="T104" s="106">
        <f t="shared" si="1"/>
        <v>-8.994</v>
      </c>
    </row>
    <row r="105" spans="3:20">
      <c r="C105" s="105">
        <v>45630</v>
      </c>
      <c r="D105" s="106">
        <v>7.185</v>
      </c>
      <c r="E105" s="100">
        <v>14.142</v>
      </c>
      <c r="F105" s="100">
        <v>-49</v>
      </c>
      <c r="G105" s="100">
        <v>-19</v>
      </c>
      <c r="H105" s="100">
        <v>1</v>
      </c>
      <c r="I105" s="100">
        <v>-39</v>
      </c>
      <c r="K105" s="105">
        <v>45630</v>
      </c>
      <c r="L105" s="100">
        <v>29.01</v>
      </c>
      <c r="M105" s="106">
        <v>16.266</v>
      </c>
      <c r="N105" s="100">
        <v>78</v>
      </c>
      <c r="O105" s="100">
        <v>45</v>
      </c>
      <c r="P105" s="100">
        <v>66</v>
      </c>
      <c r="Q105" s="100">
        <v>25</v>
      </c>
      <c r="S105" s="105">
        <v>45630</v>
      </c>
      <c r="T105" s="106">
        <f t="shared" si="1"/>
        <v>-9.081</v>
      </c>
    </row>
    <row r="106" spans="3:20">
      <c r="C106" s="105">
        <v>45629</v>
      </c>
      <c r="D106" s="106">
        <v>7.202</v>
      </c>
      <c r="E106" s="100">
        <v>13.807</v>
      </c>
      <c r="F106" s="100">
        <v>-48</v>
      </c>
      <c r="G106" s="100">
        <v>-19</v>
      </c>
      <c r="H106" s="100">
        <v>1</v>
      </c>
      <c r="I106" s="100">
        <v>-39</v>
      </c>
      <c r="K106" s="105">
        <v>45629</v>
      </c>
      <c r="L106" s="100">
        <v>28.757</v>
      </c>
      <c r="M106" s="106">
        <v>15.942</v>
      </c>
      <c r="N106" s="100">
        <v>80</v>
      </c>
      <c r="O106" s="100">
        <v>45</v>
      </c>
      <c r="P106" s="100">
        <v>66</v>
      </c>
      <c r="Q106" s="100">
        <v>25</v>
      </c>
      <c r="S106" s="105">
        <v>45629</v>
      </c>
      <c r="T106" s="106">
        <f t="shared" si="1"/>
        <v>-8.74</v>
      </c>
    </row>
    <row r="107" spans="3:20">
      <c r="C107" s="105">
        <v>45628</v>
      </c>
      <c r="D107" s="106">
        <v>7.196</v>
      </c>
      <c r="E107" s="100">
        <v>13.518</v>
      </c>
      <c r="F107" s="100">
        <v>-47</v>
      </c>
      <c r="G107" s="100">
        <v>-19</v>
      </c>
      <c r="H107" s="100">
        <v>1</v>
      </c>
      <c r="I107" s="100">
        <v>-39</v>
      </c>
      <c r="K107" s="105">
        <v>45628</v>
      </c>
      <c r="L107" s="100">
        <v>28.667</v>
      </c>
      <c r="M107" s="106">
        <v>15.682</v>
      </c>
      <c r="N107" s="100">
        <v>83</v>
      </c>
      <c r="O107" s="100">
        <v>45</v>
      </c>
      <c r="P107" s="100">
        <v>66</v>
      </c>
      <c r="Q107" s="100">
        <v>25</v>
      </c>
      <c r="S107" s="105">
        <v>45628</v>
      </c>
      <c r="T107" s="106">
        <f t="shared" si="1"/>
        <v>-8.486</v>
      </c>
    </row>
    <row r="108" spans="3:20">
      <c r="C108" s="105">
        <v>45625</v>
      </c>
      <c r="D108" s="106">
        <v>7.133</v>
      </c>
      <c r="E108" s="100">
        <v>13.295</v>
      </c>
      <c r="F108" s="100">
        <v>-46</v>
      </c>
      <c r="G108" s="100">
        <v>-19</v>
      </c>
      <c r="H108" s="100">
        <v>1</v>
      </c>
      <c r="I108" s="100">
        <v>-39</v>
      </c>
      <c r="K108" s="105">
        <v>45625</v>
      </c>
      <c r="L108" s="100">
        <v>28.63</v>
      </c>
      <c r="M108" s="106">
        <v>15.486</v>
      </c>
      <c r="N108" s="100">
        <v>85</v>
      </c>
      <c r="O108" s="100">
        <v>45</v>
      </c>
      <c r="P108" s="100">
        <v>66</v>
      </c>
      <c r="Q108" s="100">
        <v>25</v>
      </c>
      <c r="S108" s="105">
        <v>45625</v>
      </c>
      <c r="T108" s="106">
        <f t="shared" si="1"/>
        <v>-8.353</v>
      </c>
    </row>
    <row r="109" spans="3:20">
      <c r="C109" s="105">
        <v>45624</v>
      </c>
      <c r="D109" s="106">
        <v>7.248</v>
      </c>
      <c r="E109" s="100">
        <v>13.315</v>
      </c>
      <c r="F109" s="100">
        <v>-46</v>
      </c>
      <c r="G109" s="100">
        <v>-19</v>
      </c>
      <c r="H109" s="100">
        <v>1</v>
      </c>
      <c r="I109" s="100">
        <v>-39</v>
      </c>
      <c r="K109" s="105">
        <v>45624</v>
      </c>
      <c r="L109" s="100">
        <v>28.413</v>
      </c>
      <c r="M109" s="106">
        <v>15.472</v>
      </c>
      <c r="N109" s="100">
        <v>84</v>
      </c>
      <c r="O109" s="100">
        <v>45</v>
      </c>
      <c r="P109" s="100">
        <v>66</v>
      </c>
      <c r="Q109" s="100">
        <v>25</v>
      </c>
      <c r="S109" s="105">
        <v>45624</v>
      </c>
      <c r="T109" s="106">
        <f t="shared" si="1"/>
        <v>-8.224</v>
      </c>
    </row>
    <row r="110" spans="3:20">
      <c r="C110" s="105">
        <v>45623</v>
      </c>
      <c r="D110" s="106">
        <v>7.089</v>
      </c>
      <c r="E110" s="100">
        <v>13.445</v>
      </c>
      <c r="F110" s="100">
        <v>-47</v>
      </c>
      <c r="G110" s="100">
        <v>-19</v>
      </c>
      <c r="H110" s="100">
        <v>1</v>
      </c>
      <c r="I110" s="100">
        <v>-39</v>
      </c>
      <c r="K110" s="105">
        <v>45623</v>
      </c>
      <c r="L110" s="100">
        <v>28.642</v>
      </c>
      <c r="M110" s="106">
        <v>15.616</v>
      </c>
      <c r="N110" s="100">
        <v>83</v>
      </c>
      <c r="O110" s="100">
        <v>45</v>
      </c>
      <c r="P110" s="100">
        <v>66</v>
      </c>
      <c r="Q110" s="100">
        <v>25</v>
      </c>
      <c r="S110" s="105">
        <v>45623</v>
      </c>
      <c r="T110" s="106">
        <f t="shared" si="1"/>
        <v>-8.527</v>
      </c>
    </row>
    <row r="111" spans="3:20">
      <c r="C111" s="105">
        <v>45622</v>
      </c>
      <c r="D111" s="106">
        <v>7.048</v>
      </c>
      <c r="E111" s="100">
        <v>13.576</v>
      </c>
      <c r="F111" s="100">
        <v>-48</v>
      </c>
      <c r="G111" s="100">
        <v>-19</v>
      </c>
      <c r="H111" s="100">
        <v>1</v>
      </c>
      <c r="I111" s="100">
        <v>-39</v>
      </c>
      <c r="K111" s="105">
        <v>45622</v>
      </c>
      <c r="L111" s="100">
        <v>28.552</v>
      </c>
      <c r="M111" s="106">
        <v>15.715</v>
      </c>
      <c r="N111" s="100">
        <v>82</v>
      </c>
      <c r="O111" s="100">
        <v>45</v>
      </c>
      <c r="P111" s="100">
        <v>66</v>
      </c>
      <c r="Q111" s="100">
        <v>25</v>
      </c>
      <c r="S111" s="105">
        <v>45622</v>
      </c>
      <c r="T111" s="106">
        <f t="shared" si="1"/>
        <v>-8.667</v>
      </c>
    </row>
    <row r="112" spans="3:20">
      <c r="C112" s="105">
        <v>45621</v>
      </c>
      <c r="D112" s="106">
        <v>7.167</v>
      </c>
      <c r="E112" s="100">
        <v>13.742</v>
      </c>
      <c r="F112" s="100">
        <v>-48</v>
      </c>
      <c r="G112" s="100">
        <v>-19</v>
      </c>
      <c r="H112" s="100">
        <v>1</v>
      </c>
      <c r="I112" s="100">
        <v>-39</v>
      </c>
      <c r="K112" s="105">
        <v>45621</v>
      </c>
      <c r="L112" s="100">
        <v>28.678</v>
      </c>
      <c r="M112" s="106">
        <v>15.876</v>
      </c>
      <c r="N112" s="100">
        <v>81</v>
      </c>
      <c r="O112" s="100">
        <v>45</v>
      </c>
      <c r="P112" s="100">
        <v>66</v>
      </c>
      <c r="Q112" s="100">
        <v>25</v>
      </c>
      <c r="S112" s="105">
        <v>45621</v>
      </c>
      <c r="T112" s="106">
        <f t="shared" si="1"/>
        <v>-8.709</v>
      </c>
    </row>
    <row r="113" spans="3:20">
      <c r="C113" s="105">
        <v>45618</v>
      </c>
      <c r="D113" s="106">
        <v>6.43</v>
      </c>
      <c r="E113" s="100">
        <v>13.6</v>
      </c>
      <c r="F113" s="100">
        <v>-53</v>
      </c>
      <c r="G113" s="100">
        <v>-19</v>
      </c>
      <c r="H113" s="100">
        <v>1</v>
      </c>
      <c r="I113" s="100">
        <v>-39</v>
      </c>
      <c r="K113" s="105">
        <v>45618</v>
      </c>
      <c r="L113" s="100">
        <v>28.322</v>
      </c>
      <c r="M113" s="106">
        <v>15.703</v>
      </c>
      <c r="N113" s="100">
        <v>80</v>
      </c>
      <c r="O113" s="100">
        <v>45</v>
      </c>
      <c r="P113" s="100">
        <v>66</v>
      </c>
      <c r="Q113" s="100">
        <v>25</v>
      </c>
      <c r="S113" s="105">
        <v>45618</v>
      </c>
      <c r="T113" s="106">
        <f t="shared" si="1"/>
        <v>-9.273</v>
      </c>
    </row>
    <row r="114" spans="3:20">
      <c r="C114" s="105">
        <v>45617</v>
      </c>
      <c r="D114" s="106">
        <v>6.533</v>
      </c>
      <c r="E114" s="100">
        <v>13.4</v>
      </c>
      <c r="F114" s="100">
        <v>-51</v>
      </c>
      <c r="G114" s="100">
        <v>-19</v>
      </c>
      <c r="H114" s="100">
        <v>1</v>
      </c>
      <c r="I114" s="100">
        <v>-39</v>
      </c>
      <c r="K114" s="105">
        <v>45617</v>
      </c>
      <c r="L114" s="100">
        <v>28.103</v>
      </c>
      <c r="M114" s="106">
        <v>15.5</v>
      </c>
      <c r="N114" s="100">
        <v>81</v>
      </c>
      <c r="O114" s="100">
        <v>45</v>
      </c>
      <c r="P114" s="100">
        <v>66</v>
      </c>
      <c r="Q114" s="100">
        <v>25</v>
      </c>
      <c r="S114" s="105">
        <v>45617</v>
      </c>
      <c r="T114" s="106">
        <f t="shared" si="1"/>
        <v>-8.967</v>
      </c>
    </row>
    <row r="115" spans="3:20">
      <c r="C115" s="105">
        <v>45616</v>
      </c>
      <c r="D115" s="106">
        <v>7.6</v>
      </c>
      <c r="E115" s="100">
        <v>13.538</v>
      </c>
      <c r="F115" s="100">
        <v>-44</v>
      </c>
      <c r="G115" s="100">
        <v>-19</v>
      </c>
      <c r="H115" s="100">
        <v>1</v>
      </c>
      <c r="I115" s="100">
        <v>-39</v>
      </c>
      <c r="K115" s="105">
        <v>45616</v>
      </c>
      <c r="L115" s="100">
        <v>27.834</v>
      </c>
      <c r="M115" s="106">
        <v>15.58</v>
      </c>
      <c r="N115" s="100">
        <v>79</v>
      </c>
      <c r="O115" s="100">
        <v>45</v>
      </c>
      <c r="P115" s="100">
        <v>66</v>
      </c>
      <c r="Q115" s="100">
        <v>25</v>
      </c>
      <c r="S115" s="105">
        <v>45616</v>
      </c>
      <c r="T115" s="106">
        <f t="shared" si="1"/>
        <v>-7.98</v>
      </c>
    </row>
    <row r="116" spans="3:20">
      <c r="C116" s="105">
        <v>45615</v>
      </c>
      <c r="D116" s="106">
        <v>7.864</v>
      </c>
      <c r="E116" s="100">
        <v>13.608</v>
      </c>
      <c r="F116" s="100">
        <v>-42</v>
      </c>
      <c r="G116" s="100">
        <v>-19</v>
      </c>
      <c r="H116" s="100">
        <v>1</v>
      </c>
      <c r="I116" s="100">
        <v>-39</v>
      </c>
      <c r="K116" s="105">
        <v>45615</v>
      </c>
      <c r="L116" s="100">
        <v>27.611</v>
      </c>
      <c r="M116" s="106">
        <v>15.609</v>
      </c>
      <c r="N116" s="100">
        <v>77</v>
      </c>
      <c r="O116" s="100">
        <v>45</v>
      </c>
      <c r="P116" s="100">
        <v>66</v>
      </c>
      <c r="Q116" s="100">
        <v>25</v>
      </c>
      <c r="S116" s="105">
        <v>45615</v>
      </c>
      <c r="T116" s="106">
        <f t="shared" si="1"/>
        <v>-7.745</v>
      </c>
    </row>
    <row r="117" spans="3:20">
      <c r="C117" s="105">
        <v>45614</v>
      </c>
      <c r="D117" s="106">
        <v>7.814</v>
      </c>
      <c r="E117" s="100">
        <v>13.643</v>
      </c>
      <c r="F117" s="100">
        <v>-43</v>
      </c>
      <c r="G117" s="100">
        <v>-19</v>
      </c>
      <c r="H117" s="100">
        <v>1</v>
      </c>
      <c r="I117" s="100">
        <v>-39</v>
      </c>
      <c r="K117" s="105">
        <v>45614</v>
      </c>
      <c r="L117" s="100">
        <v>27.57</v>
      </c>
      <c r="M117" s="106">
        <v>15.633</v>
      </c>
      <c r="N117" s="100">
        <v>76</v>
      </c>
      <c r="O117" s="100">
        <v>45</v>
      </c>
      <c r="P117" s="100">
        <v>66</v>
      </c>
      <c r="Q117" s="100">
        <v>25</v>
      </c>
      <c r="S117" s="105">
        <v>45614</v>
      </c>
      <c r="T117" s="106">
        <f t="shared" si="1"/>
        <v>-7.819</v>
      </c>
    </row>
    <row r="118" spans="3:20">
      <c r="C118" s="105">
        <v>45611</v>
      </c>
      <c r="D118" s="106">
        <v>7.981</v>
      </c>
      <c r="E118" s="100">
        <v>13.703</v>
      </c>
      <c r="F118" s="100">
        <v>-42</v>
      </c>
      <c r="G118" s="100">
        <v>-19</v>
      </c>
      <c r="H118" s="100">
        <v>1</v>
      </c>
      <c r="I118" s="100">
        <v>-39</v>
      </c>
      <c r="K118" s="105">
        <v>45611</v>
      </c>
      <c r="L118" s="100">
        <v>27.371</v>
      </c>
      <c r="M118" s="106">
        <v>15.656</v>
      </c>
      <c r="N118" s="100">
        <v>75</v>
      </c>
      <c r="O118" s="100">
        <v>45</v>
      </c>
      <c r="P118" s="100">
        <v>66</v>
      </c>
      <c r="Q118" s="100">
        <v>25</v>
      </c>
      <c r="S118" s="105">
        <v>45611</v>
      </c>
      <c r="T118" s="106">
        <f t="shared" si="1"/>
        <v>-7.675</v>
      </c>
    </row>
    <row r="119" spans="3:20">
      <c r="C119" s="105">
        <v>45610</v>
      </c>
      <c r="D119" s="106">
        <v>7.89</v>
      </c>
      <c r="E119" s="100">
        <v>13.652</v>
      </c>
      <c r="F119" s="100">
        <v>-42</v>
      </c>
      <c r="G119" s="100">
        <v>-19</v>
      </c>
      <c r="H119" s="100">
        <v>1</v>
      </c>
      <c r="I119" s="100">
        <v>-39</v>
      </c>
      <c r="K119" s="105">
        <v>45610</v>
      </c>
      <c r="L119" s="100">
        <v>27.381</v>
      </c>
      <c r="M119" s="106">
        <v>15.613</v>
      </c>
      <c r="N119" s="100">
        <v>75</v>
      </c>
      <c r="O119" s="100">
        <v>45</v>
      </c>
      <c r="P119" s="100">
        <v>66</v>
      </c>
      <c r="Q119" s="100">
        <v>25</v>
      </c>
      <c r="S119" s="105">
        <v>45610</v>
      </c>
      <c r="T119" s="106">
        <f t="shared" si="1"/>
        <v>-7.723</v>
      </c>
    </row>
    <row r="120" spans="3:20">
      <c r="C120" s="105">
        <v>45609</v>
      </c>
      <c r="D120" s="106">
        <v>7.836</v>
      </c>
      <c r="E120" s="100">
        <v>13.625</v>
      </c>
      <c r="F120" s="100">
        <v>-42</v>
      </c>
      <c r="G120" s="100">
        <v>-19</v>
      </c>
      <c r="H120" s="100">
        <v>1</v>
      </c>
      <c r="I120" s="100">
        <v>-39</v>
      </c>
      <c r="K120" s="105">
        <v>45609</v>
      </c>
      <c r="L120" s="100">
        <v>27.444</v>
      </c>
      <c r="M120" s="106">
        <v>15.599</v>
      </c>
      <c r="N120" s="100">
        <v>76</v>
      </c>
      <c r="O120" s="100">
        <v>45</v>
      </c>
      <c r="P120" s="100">
        <v>66</v>
      </c>
      <c r="Q120" s="100">
        <v>25</v>
      </c>
      <c r="S120" s="105">
        <v>45609</v>
      </c>
      <c r="T120" s="106">
        <f t="shared" si="1"/>
        <v>-7.763</v>
      </c>
    </row>
    <row r="121" spans="3:20">
      <c r="C121" s="105">
        <v>45608</v>
      </c>
      <c r="D121" s="106">
        <v>7.958</v>
      </c>
      <c r="E121" s="100">
        <v>13.622</v>
      </c>
      <c r="F121" s="100">
        <v>-42</v>
      </c>
      <c r="G121" s="100">
        <v>-19</v>
      </c>
      <c r="H121" s="100">
        <v>1</v>
      </c>
      <c r="I121" s="100">
        <v>-39</v>
      </c>
      <c r="K121" s="105">
        <v>45608</v>
      </c>
      <c r="L121" s="100">
        <v>27.288</v>
      </c>
      <c r="M121" s="106">
        <v>15.574</v>
      </c>
      <c r="N121" s="100">
        <v>75</v>
      </c>
      <c r="O121" s="100">
        <v>45</v>
      </c>
      <c r="P121" s="100">
        <v>66</v>
      </c>
      <c r="Q121" s="100">
        <v>25</v>
      </c>
      <c r="S121" s="105">
        <v>45608</v>
      </c>
      <c r="T121" s="106">
        <f t="shared" si="1"/>
        <v>-7.616</v>
      </c>
    </row>
    <row r="122" spans="3:20">
      <c r="C122" s="105">
        <v>45607</v>
      </c>
      <c r="D122" s="106">
        <v>8.125</v>
      </c>
      <c r="E122" s="100">
        <v>13.876</v>
      </c>
      <c r="F122" s="100">
        <v>-41</v>
      </c>
      <c r="G122" s="100">
        <v>-19</v>
      </c>
      <c r="H122" s="100">
        <v>1</v>
      </c>
      <c r="I122" s="100">
        <v>-39</v>
      </c>
      <c r="K122" s="105">
        <v>45607</v>
      </c>
      <c r="L122" s="100">
        <v>27.853</v>
      </c>
      <c r="M122" s="106">
        <v>15.873</v>
      </c>
      <c r="N122" s="100">
        <v>75</v>
      </c>
      <c r="O122" s="100">
        <v>45</v>
      </c>
      <c r="P122" s="100">
        <v>66</v>
      </c>
      <c r="Q122" s="100">
        <v>25</v>
      </c>
      <c r="S122" s="105">
        <v>45607</v>
      </c>
      <c r="T122" s="106">
        <f t="shared" si="1"/>
        <v>-7.748</v>
      </c>
    </row>
    <row r="123" spans="3:20">
      <c r="C123" s="105">
        <v>45604</v>
      </c>
      <c r="D123" s="106">
        <v>8.206</v>
      </c>
      <c r="E123" s="100">
        <v>14.04</v>
      </c>
      <c r="F123" s="100">
        <v>-42</v>
      </c>
      <c r="G123" s="100">
        <v>-19</v>
      </c>
      <c r="H123" s="100">
        <v>1</v>
      </c>
      <c r="I123" s="100">
        <v>-39</v>
      </c>
      <c r="K123" s="105">
        <v>45604</v>
      </c>
      <c r="L123" s="100">
        <v>27.699</v>
      </c>
      <c r="M123" s="106">
        <v>15.991</v>
      </c>
      <c r="N123" s="100">
        <v>73</v>
      </c>
      <c r="O123" s="100">
        <v>45</v>
      </c>
      <c r="P123" s="100">
        <v>66</v>
      </c>
      <c r="Q123" s="100">
        <v>25</v>
      </c>
      <c r="S123" s="105">
        <v>45604</v>
      </c>
      <c r="T123" s="106">
        <f t="shared" si="1"/>
        <v>-7.785</v>
      </c>
    </row>
    <row r="124" spans="3:20">
      <c r="C124" s="105">
        <v>45603</v>
      </c>
      <c r="D124" s="106">
        <v>8.43</v>
      </c>
      <c r="E124" s="100">
        <v>14.121</v>
      </c>
      <c r="F124" s="100">
        <v>-40</v>
      </c>
      <c r="G124" s="100">
        <v>-19</v>
      </c>
      <c r="H124" s="100">
        <v>1</v>
      </c>
      <c r="I124" s="100">
        <v>-39</v>
      </c>
      <c r="K124" s="105">
        <v>45603</v>
      </c>
      <c r="L124" s="100">
        <v>27.76</v>
      </c>
      <c r="M124" s="106">
        <v>16.07</v>
      </c>
      <c r="N124" s="100">
        <v>73</v>
      </c>
      <c r="O124" s="100">
        <v>45</v>
      </c>
      <c r="P124" s="100">
        <v>66</v>
      </c>
      <c r="Q124" s="100">
        <v>25</v>
      </c>
      <c r="S124" s="105">
        <v>45603</v>
      </c>
      <c r="T124" s="106">
        <f t="shared" si="1"/>
        <v>-7.64</v>
      </c>
    </row>
    <row r="125" spans="3:20">
      <c r="C125" s="105">
        <v>45602</v>
      </c>
      <c r="D125" s="106">
        <v>8.363</v>
      </c>
      <c r="E125" s="100">
        <v>14.031</v>
      </c>
      <c r="F125" s="100">
        <v>-40</v>
      </c>
      <c r="G125" s="100">
        <v>-19</v>
      </c>
      <c r="H125" s="100">
        <v>1</v>
      </c>
      <c r="I125" s="100">
        <v>-39</v>
      </c>
      <c r="K125" s="105">
        <v>45602</v>
      </c>
      <c r="L125" s="100">
        <v>28.026</v>
      </c>
      <c r="M125" s="106">
        <v>16.031</v>
      </c>
      <c r="N125" s="100">
        <v>75</v>
      </c>
      <c r="O125" s="100">
        <v>45</v>
      </c>
      <c r="P125" s="100">
        <v>66</v>
      </c>
      <c r="Q125" s="100">
        <v>25</v>
      </c>
      <c r="S125" s="105">
        <v>45602</v>
      </c>
      <c r="T125" s="106">
        <f t="shared" si="1"/>
        <v>-7.668</v>
      </c>
    </row>
    <row r="126" spans="3:20">
      <c r="C126" s="105">
        <v>45601</v>
      </c>
      <c r="D126" s="106">
        <v>8.422</v>
      </c>
      <c r="E126" s="100">
        <v>14.174</v>
      </c>
      <c r="F126" s="100">
        <v>-41</v>
      </c>
      <c r="G126" s="100">
        <v>-19</v>
      </c>
      <c r="H126" s="100">
        <v>1</v>
      </c>
      <c r="I126" s="100">
        <v>-39</v>
      </c>
      <c r="K126" s="105">
        <v>45601</v>
      </c>
      <c r="L126" s="100">
        <v>28.063</v>
      </c>
      <c r="M126" s="106">
        <v>16.158</v>
      </c>
      <c r="N126" s="100">
        <v>74</v>
      </c>
      <c r="O126" s="100">
        <v>45</v>
      </c>
      <c r="P126" s="100">
        <v>66</v>
      </c>
      <c r="Q126" s="100">
        <v>25</v>
      </c>
      <c r="S126" s="105">
        <v>45601</v>
      </c>
      <c r="T126" s="106">
        <f t="shared" si="1"/>
        <v>-7.736</v>
      </c>
    </row>
    <row r="127" spans="3:20">
      <c r="C127" s="105">
        <v>45600</v>
      </c>
      <c r="D127" s="106">
        <v>8.532</v>
      </c>
      <c r="E127" s="100">
        <v>14.188</v>
      </c>
      <c r="F127" s="100">
        <v>-40</v>
      </c>
      <c r="G127" s="100">
        <v>-19</v>
      </c>
      <c r="H127" s="100">
        <v>1</v>
      </c>
      <c r="I127" s="100">
        <v>-39</v>
      </c>
      <c r="K127" s="105">
        <v>45600</v>
      </c>
      <c r="L127" s="100">
        <v>27.928</v>
      </c>
      <c r="M127" s="106">
        <v>16.151</v>
      </c>
      <c r="N127" s="100">
        <v>73</v>
      </c>
      <c r="O127" s="100">
        <v>45</v>
      </c>
      <c r="P127" s="100">
        <v>66</v>
      </c>
      <c r="Q127" s="100">
        <v>25</v>
      </c>
      <c r="S127" s="105">
        <v>45600</v>
      </c>
      <c r="T127" s="106">
        <f t="shared" si="1"/>
        <v>-7.619</v>
      </c>
    </row>
    <row r="128" spans="3:20">
      <c r="C128" s="105">
        <v>45597</v>
      </c>
      <c r="D128" s="106">
        <v>8.466</v>
      </c>
      <c r="E128" s="100">
        <v>14.193</v>
      </c>
      <c r="F128" s="100">
        <v>-40</v>
      </c>
      <c r="G128" s="100">
        <v>-19</v>
      </c>
      <c r="H128" s="100">
        <v>1</v>
      </c>
      <c r="I128" s="100">
        <v>-39</v>
      </c>
      <c r="K128" s="105">
        <v>45597</v>
      </c>
      <c r="L128" s="100">
        <v>27.786</v>
      </c>
      <c r="M128" s="106">
        <v>16.135</v>
      </c>
      <c r="N128" s="100">
        <v>72</v>
      </c>
      <c r="O128" s="100">
        <v>45</v>
      </c>
      <c r="P128" s="100">
        <v>66</v>
      </c>
      <c r="Q128" s="100">
        <v>25</v>
      </c>
      <c r="S128" s="105">
        <v>45597</v>
      </c>
      <c r="T128" s="106">
        <f t="shared" si="1"/>
        <v>-7.669</v>
      </c>
    </row>
    <row r="129" spans="3:20">
      <c r="C129" s="105">
        <v>45596</v>
      </c>
      <c r="D129" s="106">
        <v>8.453</v>
      </c>
      <c r="E129" s="100">
        <v>14.055</v>
      </c>
      <c r="F129" s="100">
        <v>-40</v>
      </c>
      <c r="G129" s="100">
        <v>-19</v>
      </c>
      <c r="H129" s="100">
        <v>1</v>
      </c>
      <c r="I129" s="100">
        <v>-39</v>
      </c>
      <c r="K129" s="105">
        <v>45596</v>
      </c>
      <c r="L129" s="100">
        <v>27.243</v>
      </c>
      <c r="M129" s="106">
        <v>15.939</v>
      </c>
      <c r="N129" s="100">
        <v>71</v>
      </c>
      <c r="O129" s="100">
        <v>45</v>
      </c>
      <c r="P129" s="100">
        <v>66</v>
      </c>
      <c r="Q129" s="100">
        <v>25</v>
      </c>
      <c r="S129" s="105">
        <v>45596</v>
      </c>
      <c r="T129" s="106">
        <f t="shared" si="1"/>
        <v>-7.486</v>
      </c>
    </row>
    <row r="130" spans="3:20">
      <c r="C130" s="105">
        <v>45595</v>
      </c>
      <c r="D130" s="106">
        <v>8.666</v>
      </c>
      <c r="E130" s="100">
        <v>14.455</v>
      </c>
      <c r="F130" s="100">
        <v>-40</v>
      </c>
      <c r="G130" s="100">
        <v>-19</v>
      </c>
      <c r="H130" s="100">
        <v>1</v>
      </c>
      <c r="I130" s="100">
        <v>-39</v>
      </c>
      <c r="K130" s="105">
        <v>45595</v>
      </c>
      <c r="L130" s="100">
        <v>27.331</v>
      </c>
      <c r="M130" s="106">
        <v>16.294</v>
      </c>
      <c r="N130" s="100">
        <v>68</v>
      </c>
      <c r="O130" s="100">
        <v>45</v>
      </c>
      <c r="P130" s="100">
        <v>66</v>
      </c>
      <c r="Q130" s="100">
        <v>25</v>
      </c>
      <c r="S130" s="105">
        <v>45595</v>
      </c>
      <c r="T130" s="106">
        <f t="shared" si="1"/>
        <v>-7.628</v>
      </c>
    </row>
    <row r="131" spans="3:20">
      <c r="C131" s="105">
        <v>45594</v>
      </c>
      <c r="D131" s="106">
        <v>8.742</v>
      </c>
      <c r="E131" s="100">
        <v>14.552</v>
      </c>
      <c r="F131" s="100">
        <v>-40</v>
      </c>
      <c r="G131" s="100">
        <v>-19</v>
      </c>
      <c r="H131" s="100">
        <v>1</v>
      </c>
      <c r="I131" s="100">
        <v>-39</v>
      </c>
      <c r="K131" s="105">
        <v>45594</v>
      </c>
      <c r="L131" s="100">
        <v>27.483</v>
      </c>
      <c r="M131" s="106">
        <v>16.4</v>
      </c>
      <c r="N131" s="100">
        <v>68</v>
      </c>
      <c r="O131" s="100">
        <v>45</v>
      </c>
      <c r="P131" s="100">
        <v>66</v>
      </c>
      <c r="Q131" s="100">
        <v>25</v>
      </c>
      <c r="S131" s="105">
        <v>45594</v>
      </c>
      <c r="T131" s="106">
        <f t="shared" si="1"/>
        <v>-7.658</v>
      </c>
    </row>
    <row r="132" spans="3:20">
      <c r="C132" s="105">
        <v>45593</v>
      </c>
      <c r="D132" s="106">
        <v>9.082</v>
      </c>
      <c r="E132" s="100">
        <v>14.749</v>
      </c>
      <c r="F132" s="100">
        <v>-38</v>
      </c>
      <c r="G132" s="100">
        <v>-19</v>
      </c>
      <c r="H132" s="100">
        <v>1</v>
      </c>
      <c r="I132" s="100">
        <v>-39</v>
      </c>
      <c r="K132" s="105">
        <v>45593</v>
      </c>
      <c r="L132" s="100">
        <v>27.813</v>
      </c>
      <c r="M132" s="106">
        <v>16.615</v>
      </c>
      <c r="N132" s="100">
        <v>67</v>
      </c>
      <c r="O132" s="100">
        <v>45</v>
      </c>
      <c r="P132" s="100">
        <v>66</v>
      </c>
      <c r="Q132" s="100">
        <v>25</v>
      </c>
      <c r="S132" s="105">
        <v>45593</v>
      </c>
      <c r="T132" s="106">
        <f t="shared" si="1"/>
        <v>-7.533</v>
      </c>
    </row>
    <row r="133" spans="3:20">
      <c r="C133" s="105">
        <v>45590</v>
      </c>
      <c r="D133" s="106">
        <v>9.016</v>
      </c>
      <c r="E133" s="100">
        <v>14.759</v>
      </c>
      <c r="F133" s="100">
        <v>-39</v>
      </c>
      <c r="G133" s="100">
        <v>-19</v>
      </c>
      <c r="H133" s="100">
        <v>1</v>
      </c>
      <c r="I133" s="100">
        <v>-39</v>
      </c>
      <c r="K133" s="105">
        <v>45590</v>
      </c>
      <c r="L133" s="100">
        <v>27.599</v>
      </c>
      <c r="M133" s="106">
        <v>16.593</v>
      </c>
      <c r="N133" s="100">
        <v>66</v>
      </c>
      <c r="O133" s="100">
        <v>45</v>
      </c>
      <c r="P133" s="100">
        <v>66</v>
      </c>
      <c r="Q133" s="100">
        <v>25</v>
      </c>
      <c r="S133" s="105">
        <v>45590</v>
      </c>
      <c r="T133" s="106">
        <f t="shared" si="1"/>
        <v>-7.577</v>
      </c>
    </row>
    <row r="134" spans="3:20">
      <c r="C134" s="105">
        <v>45589</v>
      </c>
      <c r="D134" s="106">
        <v>9.105</v>
      </c>
      <c r="E134" s="100">
        <v>14.758</v>
      </c>
      <c r="F134" s="100">
        <v>-38</v>
      </c>
      <c r="G134" s="100">
        <v>-19</v>
      </c>
      <c r="H134" s="100">
        <v>1</v>
      </c>
      <c r="I134" s="100">
        <v>-39</v>
      </c>
      <c r="K134" s="105">
        <v>45589</v>
      </c>
      <c r="L134" s="100">
        <v>27.727</v>
      </c>
      <c r="M134" s="106">
        <v>16.61</v>
      </c>
      <c r="N134" s="100">
        <v>67</v>
      </c>
      <c r="O134" s="100">
        <v>45</v>
      </c>
      <c r="P134" s="100">
        <v>66</v>
      </c>
      <c r="Q134" s="100">
        <v>25</v>
      </c>
      <c r="S134" s="105">
        <v>45589</v>
      </c>
      <c r="T134" s="106">
        <f t="shared" si="1"/>
        <v>-7.505</v>
      </c>
    </row>
    <row r="135" spans="3:20">
      <c r="C135" s="105">
        <v>45588</v>
      </c>
      <c r="D135" s="106">
        <v>9.199</v>
      </c>
      <c r="E135" s="100">
        <v>14.759</v>
      </c>
      <c r="F135" s="100">
        <v>-38</v>
      </c>
      <c r="G135" s="100">
        <v>-19</v>
      </c>
      <c r="H135" s="100">
        <v>1</v>
      </c>
      <c r="I135" s="100">
        <v>-39</v>
      </c>
      <c r="K135" s="105">
        <v>45588</v>
      </c>
      <c r="L135" s="100">
        <v>27.11</v>
      </c>
      <c r="M135" s="106">
        <v>16.523</v>
      </c>
      <c r="N135" s="100">
        <v>64</v>
      </c>
      <c r="O135" s="100">
        <v>45</v>
      </c>
      <c r="P135" s="100">
        <v>66</v>
      </c>
      <c r="Q135" s="100">
        <v>25</v>
      </c>
      <c r="S135" s="105">
        <v>45588</v>
      </c>
      <c r="T135" s="106">
        <f t="shared" si="1"/>
        <v>-7.324</v>
      </c>
    </row>
    <row r="136" spans="3:20">
      <c r="C136" s="105">
        <v>45587</v>
      </c>
      <c r="D136" s="106">
        <v>9.177</v>
      </c>
      <c r="E136" s="100">
        <v>14.859</v>
      </c>
      <c r="F136" s="100">
        <v>-38</v>
      </c>
      <c r="G136" s="100">
        <v>-19</v>
      </c>
      <c r="H136" s="100">
        <v>1</v>
      </c>
      <c r="I136" s="100">
        <v>-39</v>
      </c>
      <c r="K136" s="105">
        <v>45587</v>
      </c>
      <c r="L136" s="100">
        <v>27.473</v>
      </c>
      <c r="M136" s="106">
        <v>16.661</v>
      </c>
      <c r="N136" s="100">
        <v>65</v>
      </c>
      <c r="O136" s="100">
        <v>45</v>
      </c>
      <c r="P136" s="100">
        <v>66</v>
      </c>
      <c r="Q136" s="100">
        <v>25</v>
      </c>
      <c r="S136" s="105">
        <v>45587</v>
      </c>
      <c r="T136" s="106">
        <f t="shared" si="1"/>
        <v>-7.484</v>
      </c>
    </row>
    <row r="137" spans="3:20">
      <c r="C137" s="105">
        <v>45586</v>
      </c>
      <c r="D137" s="106">
        <v>9.172</v>
      </c>
      <c r="E137" s="100">
        <v>14.904</v>
      </c>
      <c r="F137" s="100">
        <v>-38</v>
      </c>
      <c r="G137" s="100">
        <v>-19</v>
      </c>
      <c r="H137" s="100">
        <v>1</v>
      </c>
      <c r="I137" s="100">
        <v>-39</v>
      </c>
      <c r="K137" s="105">
        <v>45586</v>
      </c>
      <c r="L137" s="100">
        <v>27.732</v>
      </c>
      <c r="M137" s="106">
        <v>16.737</v>
      </c>
      <c r="N137" s="100">
        <v>66</v>
      </c>
      <c r="O137" s="100">
        <v>45</v>
      </c>
      <c r="P137" s="100">
        <v>66</v>
      </c>
      <c r="Q137" s="100">
        <v>25</v>
      </c>
      <c r="S137" s="105">
        <v>45586</v>
      </c>
      <c r="T137" s="106">
        <f t="shared" si="1"/>
        <v>-7.565</v>
      </c>
    </row>
    <row r="138" spans="3:20">
      <c r="C138" s="105">
        <v>45583</v>
      </c>
      <c r="D138" s="106">
        <v>9.36</v>
      </c>
      <c r="E138" s="100">
        <v>14.969</v>
      </c>
      <c r="F138" s="100">
        <v>-37</v>
      </c>
      <c r="G138" s="100">
        <v>-19</v>
      </c>
      <c r="H138" s="100">
        <v>1</v>
      </c>
      <c r="I138" s="100">
        <v>-39</v>
      </c>
      <c r="K138" s="105">
        <v>45583</v>
      </c>
      <c r="L138" s="100">
        <v>27.535</v>
      </c>
      <c r="M138" s="106">
        <v>16.765</v>
      </c>
      <c r="N138" s="100">
        <v>64</v>
      </c>
      <c r="O138" s="100">
        <v>45</v>
      </c>
      <c r="P138" s="100">
        <v>66</v>
      </c>
      <c r="Q138" s="100">
        <v>25</v>
      </c>
      <c r="S138" s="105">
        <v>45583</v>
      </c>
      <c r="T138" s="106">
        <f t="shared" si="1"/>
        <v>-7.405</v>
      </c>
    </row>
    <row r="139" spans="3:20">
      <c r="C139" s="105">
        <v>45582</v>
      </c>
      <c r="D139" s="106">
        <v>9.466</v>
      </c>
      <c r="E139" s="100">
        <v>15.076</v>
      </c>
      <c r="F139" s="100">
        <v>-37</v>
      </c>
      <c r="G139" s="100">
        <v>-19</v>
      </c>
      <c r="H139" s="100">
        <v>1</v>
      </c>
      <c r="I139" s="100">
        <v>-39</v>
      </c>
      <c r="K139" s="105">
        <v>45582</v>
      </c>
      <c r="L139" s="100">
        <v>27.426</v>
      </c>
      <c r="M139" s="106">
        <v>16.841</v>
      </c>
      <c r="N139" s="100">
        <v>63</v>
      </c>
      <c r="O139" s="100">
        <v>45</v>
      </c>
      <c r="P139" s="100">
        <v>66</v>
      </c>
      <c r="Q139" s="100">
        <v>25</v>
      </c>
      <c r="S139" s="105">
        <v>45582</v>
      </c>
      <c r="T139" s="106">
        <f t="shared" si="1"/>
        <v>-7.375</v>
      </c>
    </row>
    <row r="140" spans="3:20">
      <c r="C140" s="105">
        <v>45581</v>
      </c>
      <c r="D140" s="106">
        <v>9.352</v>
      </c>
      <c r="E140" s="100">
        <v>15.103</v>
      </c>
      <c r="F140" s="100">
        <v>-38</v>
      </c>
      <c r="G140" s="100">
        <v>-19</v>
      </c>
      <c r="H140" s="100">
        <v>1</v>
      </c>
      <c r="I140" s="100">
        <v>-39</v>
      </c>
      <c r="K140" s="105">
        <v>45581</v>
      </c>
      <c r="L140" s="100">
        <v>26.992</v>
      </c>
      <c r="M140" s="106">
        <v>16.801</v>
      </c>
      <c r="N140" s="100">
        <v>61</v>
      </c>
      <c r="O140" s="100">
        <v>45</v>
      </c>
      <c r="P140" s="100">
        <v>66</v>
      </c>
      <c r="Q140" s="100">
        <v>25</v>
      </c>
      <c r="S140" s="105">
        <v>45581</v>
      </c>
      <c r="T140" s="106">
        <f t="shared" si="1"/>
        <v>-7.449</v>
      </c>
    </row>
    <row r="141" spans="3:20">
      <c r="C141" s="105">
        <v>45580</v>
      </c>
      <c r="D141" s="106">
        <v>9.076</v>
      </c>
      <c r="E141" s="100">
        <v>14.808</v>
      </c>
      <c r="F141" s="100">
        <v>-39</v>
      </c>
      <c r="G141" s="100">
        <v>-19</v>
      </c>
      <c r="H141" s="100">
        <v>1</v>
      </c>
      <c r="I141" s="100">
        <v>-39</v>
      </c>
      <c r="K141" s="105">
        <v>45580</v>
      </c>
      <c r="L141" s="100">
        <v>26.832</v>
      </c>
      <c r="M141" s="106">
        <v>16.526</v>
      </c>
      <c r="N141" s="100">
        <v>62</v>
      </c>
      <c r="O141" s="100">
        <v>45</v>
      </c>
      <c r="P141" s="100">
        <v>66</v>
      </c>
      <c r="Q141" s="100">
        <v>25</v>
      </c>
      <c r="S141" s="105">
        <v>45580</v>
      </c>
      <c r="T141" s="106">
        <f t="shared" si="1"/>
        <v>-7.45</v>
      </c>
    </row>
    <row r="142" spans="3:20">
      <c r="C142" s="105">
        <v>45579</v>
      </c>
      <c r="D142" s="106">
        <v>8.916</v>
      </c>
      <c r="E142" s="100">
        <v>14.742</v>
      </c>
      <c r="F142" s="100">
        <v>-40</v>
      </c>
      <c r="G142" s="100">
        <v>-19</v>
      </c>
      <c r="H142" s="100">
        <v>1</v>
      </c>
      <c r="I142" s="100">
        <v>-39</v>
      </c>
      <c r="K142" s="105">
        <v>45579</v>
      </c>
      <c r="L142" s="100">
        <v>26.62</v>
      </c>
      <c r="M142" s="106">
        <v>16.439</v>
      </c>
      <c r="N142" s="100">
        <v>62</v>
      </c>
      <c r="O142" s="100">
        <v>45</v>
      </c>
      <c r="P142" s="100">
        <v>66</v>
      </c>
      <c r="Q142" s="100">
        <v>25</v>
      </c>
      <c r="S142" s="105">
        <v>45579</v>
      </c>
      <c r="T142" s="106">
        <f t="shared" si="1"/>
        <v>-7.523</v>
      </c>
    </row>
    <row r="143" spans="3:20">
      <c r="C143" s="105">
        <v>45576</v>
      </c>
      <c r="D143" s="106">
        <v>8.946</v>
      </c>
      <c r="E143" s="100">
        <v>14.66</v>
      </c>
      <c r="F143" s="100">
        <v>-39</v>
      </c>
      <c r="G143" s="100">
        <v>-19</v>
      </c>
      <c r="H143" s="100">
        <v>1</v>
      </c>
      <c r="I143" s="100">
        <v>-39</v>
      </c>
      <c r="K143" s="105">
        <v>45576</v>
      </c>
      <c r="L143" s="100">
        <v>26.501</v>
      </c>
      <c r="M143" s="106">
        <v>16.351</v>
      </c>
      <c r="N143" s="100">
        <v>62</v>
      </c>
      <c r="O143" s="100">
        <v>45</v>
      </c>
      <c r="P143" s="100">
        <v>66</v>
      </c>
      <c r="Q143" s="100">
        <v>25</v>
      </c>
      <c r="S143" s="105">
        <v>45576</v>
      </c>
      <c r="T143" s="106">
        <f t="shared" si="1"/>
        <v>-7.405</v>
      </c>
    </row>
    <row r="144" spans="3:20">
      <c r="C144" s="105">
        <v>45575</v>
      </c>
      <c r="D144" s="106">
        <v>8.909</v>
      </c>
      <c r="E144" s="100">
        <v>14.564</v>
      </c>
      <c r="F144" s="100">
        <v>-39</v>
      </c>
      <c r="G144" s="100">
        <v>-19</v>
      </c>
      <c r="H144" s="100">
        <v>1</v>
      </c>
      <c r="I144" s="100">
        <v>-39</v>
      </c>
      <c r="K144" s="105">
        <v>45575</v>
      </c>
      <c r="L144" s="100">
        <v>26.457</v>
      </c>
      <c r="M144" s="106">
        <v>16.263</v>
      </c>
      <c r="N144" s="100">
        <v>63</v>
      </c>
      <c r="O144" s="100">
        <v>45</v>
      </c>
      <c r="P144" s="100">
        <v>66</v>
      </c>
      <c r="Q144" s="100">
        <v>25</v>
      </c>
      <c r="S144" s="105">
        <v>45575</v>
      </c>
      <c r="T144" s="106">
        <f t="shared" si="1"/>
        <v>-7.354</v>
      </c>
    </row>
    <row r="145" spans="3:20">
      <c r="C145" s="105">
        <v>45574</v>
      </c>
      <c r="D145" s="106">
        <v>9.04</v>
      </c>
      <c r="E145" s="100">
        <v>14.599</v>
      </c>
      <c r="F145" s="100">
        <v>-38</v>
      </c>
      <c r="G145" s="100">
        <v>-19</v>
      </c>
      <c r="H145" s="100">
        <v>1</v>
      </c>
      <c r="I145" s="100">
        <v>-39</v>
      </c>
      <c r="K145" s="105">
        <v>45574</v>
      </c>
      <c r="L145" s="100">
        <v>26.704</v>
      </c>
      <c r="M145" s="106">
        <v>16.329</v>
      </c>
      <c r="N145" s="100">
        <v>64</v>
      </c>
      <c r="O145" s="100">
        <v>45</v>
      </c>
      <c r="P145" s="100">
        <v>66</v>
      </c>
      <c r="Q145" s="100">
        <v>25</v>
      </c>
      <c r="S145" s="105">
        <v>45574</v>
      </c>
      <c r="T145" s="106">
        <f t="shared" si="1"/>
        <v>-7.289</v>
      </c>
    </row>
    <row r="146" spans="3:20">
      <c r="C146" s="105">
        <v>45573</v>
      </c>
      <c r="D146" s="106">
        <v>9.008</v>
      </c>
      <c r="E146" s="100">
        <v>14.599</v>
      </c>
      <c r="F146" s="100">
        <v>-38</v>
      </c>
      <c r="G146" s="100">
        <v>-19</v>
      </c>
      <c r="H146" s="100">
        <v>1</v>
      </c>
      <c r="I146" s="100">
        <v>-39</v>
      </c>
      <c r="K146" s="105">
        <v>45573</v>
      </c>
      <c r="L146" s="100">
        <v>26.59</v>
      </c>
      <c r="M146" s="106">
        <v>16.312</v>
      </c>
      <c r="N146" s="100">
        <v>63</v>
      </c>
      <c r="O146" s="100">
        <v>45</v>
      </c>
      <c r="P146" s="100">
        <v>66</v>
      </c>
      <c r="Q146" s="100">
        <v>25</v>
      </c>
      <c r="S146" s="105">
        <v>45573</v>
      </c>
      <c r="T146" s="106">
        <f t="shared" si="1"/>
        <v>-7.304</v>
      </c>
    </row>
    <row r="147" spans="3:20">
      <c r="C147" s="105">
        <v>45572</v>
      </c>
      <c r="D147" s="106">
        <v>9.183</v>
      </c>
      <c r="E147" s="100">
        <v>14.666</v>
      </c>
      <c r="F147" s="100">
        <v>-37</v>
      </c>
      <c r="G147" s="100">
        <v>-19</v>
      </c>
      <c r="H147" s="100">
        <v>1</v>
      </c>
      <c r="I147" s="100">
        <v>-39</v>
      </c>
      <c r="K147" s="105">
        <v>45572</v>
      </c>
      <c r="L147" s="100">
        <v>26.431</v>
      </c>
      <c r="M147" s="106">
        <v>16.346</v>
      </c>
      <c r="N147" s="100">
        <v>62</v>
      </c>
      <c r="O147" s="100">
        <v>45</v>
      </c>
      <c r="P147" s="100">
        <v>66</v>
      </c>
      <c r="Q147" s="100">
        <v>25</v>
      </c>
      <c r="S147" s="105">
        <v>45572</v>
      </c>
      <c r="T147" s="106">
        <f t="shared" si="1"/>
        <v>-7.163</v>
      </c>
    </row>
    <row r="148" spans="3:20">
      <c r="C148" s="105">
        <v>45569</v>
      </c>
      <c r="D148" s="106">
        <v>9.488</v>
      </c>
      <c r="E148" s="100">
        <v>14.598</v>
      </c>
      <c r="F148" s="100">
        <v>-35</v>
      </c>
      <c r="G148" s="100">
        <v>-19</v>
      </c>
      <c r="H148" s="100">
        <v>1</v>
      </c>
      <c r="I148" s="100">
        <v>-39</v>
      </c>
      <c r="K148" s="105">
        <v>45569</v>
      </c>
      <c r="L148" s="100">
        <v>26.737</v>
      </c>
      <c r="M148" s="106">
        <v>16.332</v>
      </c>
      <c r="N148" s="100">
        <v>64</v>
      </c>
      <c r="O148" s="100">
        <v>45</v>
      </c>
      <c r="P148" s="100">
        <v>66</v>
      </c>
      <c r="Q148" s="100">
        <v>25</v>
      </c>
      <c r="S148" s="105">
        <v>45569</v>
      </c>
      <c r="T148" s="106">
        <f t="shared" si="1"/>
        <v>-6.844</v>
      </c>
    </row>
    <row r="149" spans="3:20">
      <c r="C149" s="105">
        <v>45568</v>
      </c>
      <c r="D149" s="106">
        <v>9.751</v>
      </c>
      <c r="E149" s="100">
        <v>14.592</v>
      </c>
      <c r="F149" s="100">
        <v>-33</v>
      </c>
      <c r="G149" s="100">
        <v>-19</v>
      </c>
      <c r="H149" s="100">
        <v>1</v>
      </c>
      <c r="I149" s="100">
        <v>-39</v>
      </c>
      <c r="K149" s="105">
        <v>45568</v>
      </c>
      <c r="L149" s="100">
        <v>27.111</v>
      </c>
      <c r="M149" s="106">
        <v>16.381</v>
      </c>
      <c r="N149" s="100">
        <v>66</v>
      </c>
      <c r="O149" s="100">
        <v>45</v>
      </c>
      <c r="P149" s="100">
        <v>66</v>
      </c>
      <c r="Q149" s="100">
        <v>25</v>
      </c>
      <c r="S149" s="105">
        <v>45568</v>
      </c>
      <c r="T149" s="106">
        <f t="shared" si="1"/>
        <v>-6.63</v>
      </c>
    </row>
    <row r="150" spans="3:20">
      <c r="C150" s="105">
        <v>45567</v>
      </c>
      <c r="D150" s="106">
        <v>9.747</v>
      </c>
      <c r="E150" s="100">
        <v>14.611</v>
      </c>
      <c r="F150" s="100">
        <v>-33</v>
      </c>
      <c r="G150" s="100">
        <v>-19</v>
      </c>
      <c r="H150" s="100">
        <v>1</v>
      </c>
      <c r="I150" s="100">
        <v>-39</v>
      </c>
      <c r="K150" s="105">
        <v>45567</v>
      </c>
      <c r="L150" s="100">
        <v>26.947</v>
      </c>
      <c r="M150" s="106">
        <v>16.373</v>
      </c>
      <c r="N150" s="100">
        <v>65</v>
      </c>
      <c r="O150" s="100">
        <v>45</v>
      </c>
      <c r="P150" s="100">
        <v>66</v>
      </c>
      <c r="Q150" s="100">
        <v>25</v>
      </c>
      <c r="S150" s="105">
        <v>45567</v>
      </c>
      <c r="T150" s="106">
        <f t="shared" ref="T150:T213" si="2">D150-M150</f>
        <v>-6.626</v>
      </c>
    </row>
    <row r="151" spans="3:20">
      <c r="C151" s="105">
        <v>45566</v>
      </c>
      <c r="D151" s="106">
        <v>10.293</v>
      </c>
      <c r="E151" s="100">
        <v>14.747</v>
      </c>
      <c r="F151" s="100">
        <v>-30</v>
      </c>
      <c r="G151" s="100">
        <v>-19</v>
      </c>
      <c r="H151" s="100">
        <v>1</v>
      </c>
      <c r="I151" s="100">
        <v>-39</v>
      </c>
      <c r="K151" s="105">
        <v>45566</v>
      </c>
      <c r="L151" s="100">
        <v>26.88</v>
      </c>
      <c r="M151" s="106">
        <v>16.48</v>
      </c>
      <c r="N151" s="100">
        <v>63</v>
      </c>
      <c r="O151" s="100">
        <v>45</v>
      </c>
      <c r="P151" s="100">
        <v>66</v>
      </c>
      <c r="Q151" s="100">
        <v>25</v>
      </c>
      <c r="S151" s="105">
        <v>45566</v>
      </c>
      <c r="T151" s="106">
        <f t="shared" si="2"/>
        <v>-6.187</v>
      </c>
    </row>
    <row r="152" spans="3:20">
      <c r="C152" s="105">
        <v>45565</v>
      </c>
      <c r="D152" s="106">
        <v>10.661</v>
      </c>
      <c r="E152" s="100">
        <v>14.966</v>
      </c>
      <c r="F152" s="100">
        <v>-29</v>
      </c>
      <c r="G152" s="100">
        <v>-19</v>
      </c>
      <c r="H152" s="100">
        <v>1</v>
      </c>
      <c r="I152" s="100">
        <v>-39</v>
      </c>
      <c r="K152" s="105">
        <v>45565</v>
      </c>
      <c r="L152" s="100">
        <v>26.627</v>
      </c>
      <c r="M152" s="106">
        <v>16.632</v>
      </c>
      <c r="N152" s="100">
        <v>60</v>
      </c>
      <c r="O152" s="100">
        <v>45</v>
      </c>
      <c r="P152" s="100">
        <v>66</v>
      </c>
      <c r="Q152" s="100">
        <v>25</v>
      </c>
      <c r="S152" s="105">
        <v>45565</v>
      </c>
      <c r="T152" s="106">
        <f t="shared" si="2"/>
        <v>-5.971</v>
      </c>
    </row>
    <row r="153" spans="3:20">
      <c r="C153" s="105">
        <v>45562</v>
      </c>
      <c r="D153" s="106">
        <v>10.773</v>
      </c>
      <c r="E153" s="100">
        <v>15.05</v>
      </c>
      <c r="F153" s="100">
        <v>-28</v>
      </c>
      <c r="G153" s="100">
        <v>-19</v>
      </c>
      <c r="H153" s="100">
        <v>1</v>
      </c>
      <c r="I153" s="100">
        <v>-39</v>
      </c>
      <c r="K153" s="105">
        <v>45562</v>
      </c>
      <c r="L153" s="100">
        <v>26.722</v>
      </c>
      <c r="M153" s="106">
        <v>16.717</v>
      </c>
      <c r="N153" s="100">
        <v>60</v>
      </c>
      <c r="O153" s="100">
        <v>45</v>
      </c>
      <c r="P153" s="100">
        <v>66</v>
      </c>
      <c r="Q153" s="100">
        <v>25</v>
      </c>
      <c r="S153" s="105">
        <v>45562</v>
      </c>
      <c r="T153" s="106">
        <f t="shared" si="2"/>
        <v>-5.944</v>
      </c>
    </row>
    <row r="154" spans="3:20">
      <c r="C154" s="105">
        <v>45561</v>
      </c>
      <c r="D154" s="106">
        <v>10.677</v>
      </c>
      <c r="E154" s="100">
        <v>14.943</v>
      </c>
      <c r="F154" s="100">
        <v>-29</v>
      </c>
      <c r="G154" s="100">
        <v>-19</v>
      </c>
      <c r="H154" s="100">
        <v>1</v>
      </c>
      <c r="I154" s="100">
        <v>-39</v>
      </c>
      <c r="K154" s="105">
        <v>45561</v>
      </c>
      <c r="L154" s="100">
        <v>26.714</v>
      </c>
      <c r="M154" s="106">
        <v>16.625</v>
      </c>
      <c r="N154" s="100">
        <v>61</v>
      </c>
      <c r="O154" s="100">
        <v>45</v>
      </c>
      <c r="P154" s="100">
        <v>66</v>
      </c>
      <c r="Q154" s="100">
        <v>25</v>
      </c>
      <c r="S154" s="105">
        <v>45561</v>
      </c>
      <c r="T154" s="106">
        <f t="shared" si="2"/>
        <v>-5.948</v>
      </c>
    </row>
    <row r="155" spans="3:20">
      <c r="C155" s="105">
        <v>45560</v>
      </c>
      <c r="D155" s="106">
        <v>10.669</v>
      </c>
      <c r="E155" s="100">
        <v>14.865</v>
      </c>
      <c r="F155" s="100">
        <v>-28</v>
      </c>
      <c r="G155" s="100">
        <v>-19</v>
      </c>
      <c r="H155" s="100">
        <v>1</v>
      </c>
      <c r="I155" s="100">
        <v>-39</v>
      </c>
      <c r="K155" s="105">
        <v>45560</v>
      </c>
      <c r="L155" s="100">
        <v>27.038</v>
      </c>
      <c r="M155" s="106">
        <v>16.604</v>
      </c>
      <c r="N155" s="100">
        <v>63</v>
      </c>
      <c r="O155" s="100">
        <v>45</v>
      </c>
      <c r="P155" s="100">
        <v>66</v>
      </c>
      <c r="Q155" s="100">
        <v>25</v>
      </c>
      <c r="S155" s="105">
        <v>45560</v>
      </c>
      <c r="T155" s="106">
        <f t="shared" si="2"/>
        <v>-5.935</v>
      </c>
    </row>
    <row r="156" spans="3:20">
      <c r="C156" s="105">
        <v>45559</v>
      </c>
      <c r="D156" s="106">
        <v>10.775</v>
      </c>
      <c r="E156" s="100">
        <v>14.998</v>
      </c>
      <c r="F156" s="100">
        <v>-28</v>
      </c>
      <c r="G156" s="100">
        <v>-19</v>
      </c>
      <c r="H156" s="100">
        <v>1</v>
      </c>
      <c r="I156" s="100">
        <v>-39</v>
      </c>
      <c r="K156" s="105">
        <v>45559</v>
      </c>
      <c r="L156" s="100">
        <v>26.672</v>
      </c>
      <c r="M156" s="106">
        <v>16.666</v>
      </c>
      <c r="N156" s="100">
        <v>60</v>
      </c>
      <c r="O156" s="100">
        <v>45</v>
      </c>
      <c r="P156" s="100">
        <v>66</v>
      </c>
      <c r="Q156" s="100">
        <v>25</v>
      </c>
      <c r="S156" s="105">
        <v>45559</v>
      </c>
      <c r="T156" s="106">
        <f t="shared" si="2"/>
        <v>-5.891</v>
      </c>
    </row>
    <row r="157" spans="3:20">
      <c r="C157" s="105">
        <v>45558</v>
      </c>
      <c r="D157" s="106">
        <v>10.84</v>
      </c>
      <c r="E157" s="100">
        <v>14.978</v>
      </c>
      <c r="F157" s="100">
        <v>-28</v>
      </c>
      <c r="G157" s="100">
        <v>-19</v>
      </c>
      <c r="H157" s="100">
        <v>1</v>
      </c>
      <c r="I157" s="100">
        <v>-39</v>
      </c>
      <c r="K157" s="105">
        <v>45558</v>
      </c>
      <c r="L157" s="100">
        <v>26.997</v>
      </c>
      <c r="M157" s="106">
        <v>16.695</v>
      </c>
      <c r="N157" s="100">
        <v>62</v>
      </c>
      <c r="O157" s="100">
        <v>45</v>
      </c>
      <c r="P157" s="100">
        <v>66</v>
      </c>
      <c r="Q157" s="100">
        <v>25</v>
      </c>
      <c r="S157" s="105">
        <v>45558</v>
      </c>
      <c r="T157" s="106">
        <f t="shared" si="2"/>
        <v>-5.855</v>
      </c>
    </row>
    <row r="158" spans="3:20">
      <c r="C158" s="105">
        <v>45555</v>
      </c>
      <c r="D158" s="106">
        <v>10.703</v>
      </c>
      <c r="E158" s="100">
        <v>14.78</v>
      </c>
      <c r="F158" s="100">
        <v>-28</v>
      </c>
      <c r="G158" s="100">
        <v>-19</v>
      </c>
      <c r="H158" s="100">
        <v>1</v>
      </c>
      <c r="I158" s="100">
        <v>-39</v>
      </c>
      <c r="K158" s="105">
        <v>45555</v>
      </c>
      <c r="L158" s="100">
        <v>26.907</v>
      </c>
      <c r="M158" s="106">
        <v>16.512</v>
      </c>
      <c r="N158" s="100">
        <v>63</v>
      </c>
      <c r="O158" s="100">
        <v>45</v>
      </c>
      <c r="P158" s="100">
        <v>66</v>
      </c>
      <c r="Q158" s="100">
        <v>25</v>
      </c>
      <c r="S158" s="105">
        <v>45555</v>
      </c>
      <c r="T158" s="106">
        <f t="shared" si="2"/>
        <v>-5.809</v>
      </c>
    </row>
    <row r="159" spans="3:20">
      <c r="C159" s="105">
        <v>45554</v>
      </c>
      <c r="D159" s="106">
        <v>11.02</v>
      </c>
      <c r="E159" s="100">
        <v>14.989</v>
      </c>
      <c r="F159" s="100">
        <v>-26</v>
      </c>
      <c r="G159" s="100">
        <v>-19</v>
      </c>
      <c r="H159" s="100">
        <v>1</v>
      </c>
      <c r="I159" s="100">
        <v>-39</v>
      </c>
      <c r="K159" s="105">
        <v>45554</v>
      </c>
      <c r="L159" s="100">
        <v>26.929</v>
      </c>
      <c r="M159" s="106">
        <v>16.695</v>
      </c>
      <c r="N159" s="100">
        <v>61</v>
      </c>
      <c r="O159" s="100">
        <v>45</v>
      </c>
      <c r="P159" s="100">
        <v>66</v>
      </c>
      <c r="Q159" s="100">
        <v>25</v>
      </c>
      <c r="S159" s="105">
        <v>45554</v>
      </c>
      <c r="T159" s="106">
        <f t="shared" si="2"/>
        <v>-5.675</v>
      </c>
    </row>
    <row r="160" spans="3:20">
      <c r="C160" s="105">
        <v>45553</v>
      </c>
      <c r="D160" s="106">
        <v>10.582</v>
      </c>
      <c r="E160" s="100">
        <v>14.676</v>
      </c>
      <c r="F160" s="100">
        <v>-28</v>
      </c>
      <c r="G160" s="100">
        <v>-19</v>
      </c>
      <c r="H160" s="100">
        <v>1</v>
      </c>
      <c r="I160" s="100">
        <v>-39</v>
      </c>
      <c r="K160" s="105">
        <v>45553</v>
      </c>
      <c r="L160" s="100">
        <v>27.097</v>
      </c>
      <c r="M160" s="106">
        <v>16.451</v>
      </c>
      <c r="N160" s="100">
        <v>65</v>
      </c>
      <c r="O160" s="100">
        <v>45</v>
      </c>
      <c r="P160" s="100">
        <v>66</v>
      </c>
      <c r="Q160" s="100">
        <v>25</v>
      </c>
      <c r="S160" s="105">
        <v>45553</v>
      </c>
      <c r="T160" s="106">
        <f t="shared" si="2"/>
        <v>-5.869</v>
      </c>
    </row>
    <row r="161" spans="3:20">
      <c r="C161" s="105">
        <v>45552</v>
      </c>
      <c r="D161" s="106">
        <v>11.257</v>
      </c>
      <c r="E161" s="100">
        <v>14.828</v>
      </c>
      <c r="F161" s="100">
        <v>-24</v>
      </c>
      <c r="G161" s="100">
        <v>-19</v>
      </c>
      <c r="H161" s="100">
        <v>1</v>
      </c>
      <c r="I161" s="100">
        <v>-39</v>
      </c>
      <c r="K161" s="105">
        <v>45552</v>
      </c>
      <c r="L161" s="100">
        <v>27.239</v>
      </c>
      <c r="M161" s="106">
        <v>16.601</v>
      </c>
      <c r="N161" s="100">
        <v>64</v>
      </c>
      <c r="O161" s="100">
        <v>45</v>
      </c>
      <c r="P161" s="100">
        <v>66</v>
      </c>
      <c r="Q161" s="100">
        <v>25</v>
      </c>
      <c r="S161" s="105">
        <v>45552</v>
      </c>
      <c r="T161" s="106">
        <f t="shared" si="2"/>
        <v>-5.344</v>
      </c>
    </row>
    <row r="162" spans="3:20">
      <c r="C162" s="105">
        <v>45551</v>
      </c>
      <c r="D162" s="106">
        <v>10.882</v>
      </c>
      <c r="E162" s="100">
        <v>14.546</v>
      </c>
      <c r="F162" s="100">
        <v>-25</v>
      </c>
      <c r="G162" s="100">
        <v>-19</v>
      </c>
      <c r="H162" s="100">
        <v>1</v>
      </c>
      <c r="I162" s="100">
        <v>-39</v>
      </c>
      <c r="K162" s="105">
        <v>45551</v>
      </c>
      <c r="L162" s="100">
        <v>27.434</v>
      </c>
      <c r="M162" s="106">
        <v>16.387</v>
      </c>
      <c r="N162" s="100">
        <v>67</v>
      </c>
      <c r="O162" s="100">
        <v>45</v>
      </c>
      <c r="P162" s="100">
        <v>66</v>
      </c>
      <c r="Q162" s="100">
        <v>25</v>
      </c>
      <c r="S162" s="105">
        <v>45551</v>
      </c>
      <c r="T162" s="106">
        <f t="shared" si="2"/>
        <v>-5.505</v>
      </c>
    </row>
    <row r="163" spans="3:20">
      <c r="C163" s="105">
        <v>45548</v>
      </c>
      <c r="D163" s="106">
        <v>10.463</v>
      </c>
      <c r="E163" s="100">
        <v>14.361</v>
      </c>
      <c r="F163" s="100">
        <v>-27</v>
      </c>
      <c r="G163" s="100">
        <v>-19</v>
      </c>
      <c r="H163" s="100">
        <v>1</v>
      </c>
      <c r="I163" s="100">
        <v>-39</v>
      </c>
      <c r="K163" s="105">
        <v>45548</v>
      </c>
      <c r="L163" s="100">
        <v>27.368</v>
      </c>
      <c r="M163" s="106">
        <v>16.22</v>
      </c>
      <c r="N163" s="100">
        <v>69</v>
      </c>
      <c r="O163" s="100">
        <v>45</v>
      </c>
      <c r="P163" s="100">
        <v>66</v>
      </c>
      <c r="Q163" s="100">
        <v>25</v>
      </c>
      <c r="S163" s="105">
        <v>45548</v>
      </c>
      <c r="T163" s="106">
        <f t="shared" si="2"/>
        <v>-5.757</v>
      </c>
    </row>
    <row r="164" spans="3:20">
      <c r="C164" s="105">
        <v>45547</v>
      </c>
      <c r="D164" s="106">
        <v>10.142</v>
      </c>
      <c r="E164" s="100">
        <v>14.09</v>
      </c>
      <c r="F164" s="100">
        <v>-28</v>
      </c>
      <c r="G164" s="100">
        <v>-19</v>
      </c>
      <c r="H164" s="100">
        <v>1</v>
      </c>
      <c r="I164" s="100">
        <v>-39</v>
      </c>
      <c r="K164" s="105">
        <v>45547</v>
      </c>
      <c r="L164" s="100">
        <v>27.35</v>
      </c>
      <c r="M164" s="106">
        <v>15.984</v>
      </c>
      <c r="N164" s="100">
        <v>71</v>
      </c>
      <c r="O164" s="100">
        <v>45</v>
      </c>
      <c r="P164" s="100">
        <v>66</v>
      </c>
      <c r="Q164" s="100">
        <v>25</v>
      </c>
      <c r="S164" s="105">
        <v>45547</v>
      </c>
      <c r="T164" s="106">
        <f t="shared" si="2"/>
        <v>-5.842</v>
      </c>
    </row>
    <row r="165" spans="3:20">
      <c r="C165" s="105">
        <v>45546</v>
      </c>
      <c r="D165" s="106">
        <v>9.79</v>
      </c>
      <c r="E165" s="100">
        <v>13.797</v>
      </c>
      <c r="F165" s="100">
        <v>-29</v>
      </c>
      <c r="G165" s="100">
        <v>-19</v>
      </c>
      <c r="H165" s="100">
        <v>1</v>
      </c>
      <c r="I165" s="100">
        <v>-39</v>
      </c>
      <c r="K165" s="105">
        <v>45546</v>
      </c>
      <c r="L165" s="100">
        <v>27.114</v>
      </c>
      <c r="M165" s="106">
        <v>15.7</v>
      </c>
      <c r="N165" s="100">
        <v>73</v>
      </c>
      <c r="O165" s="100">
        <v>45</v>
      </c>
      <c r="P165" s="100">
        <v>66</v>
      </c>
      <c r="Q165" s="100">
        <v>25</v>
      </c>
      <c r="S165" s="105">
        <v>45546</v>
      </c>
      <c r="T165" s="106">
        <f t="shared" si="2"/>
        <v>-5.91</v>
      </c>
    </row>
    <row r="166" spans="3:20">
      <c r="C166" s="105">
        <v>45545</v>
      </c>
      <c r="D166" s="106">
        <v>9.845</v>
      </c>
      <c r="E166" s="100">
        <v>13.542</v>
      </c>
      <c r="F166" s="100">
        <v>-27</v>
      </c>
      <c r="G166" s="100">
        <v>-19</v>
      </c>
      <c r="H166" s="100">
        <v>1</v>
      </c>
      <c r="I166" s="100">
        <v>-39</v>
      </c>
      <c r="K166" s="105">
        <v>45545</v>
      </c>
      <c r="L166" s="100">
        <v>27.126</v>
      </c>
      <c r="M166" s="106">
        <v>15.483</v>
      </c>
      <c r="N166" s="100">
        <v>75</v>
      </c>
      <c r="O166" s="100">
        <v>45</v>
      </c>
      <c r="P166" s="100">
        <v>66</v>
      </c>
      <c r="Q166" s="100">
        <v>25</v>
      </c>
      <c r="S166" s="105">
        <v>45545</v>
      </c>
      <c r="T166" s="106">
        <f t="shared" si="2"/>
        <v>-5.638</v>
      </c>
    </row>
    <row r="167" spans="3:20">
      <c r="C167" s="105">
        <v>45544</v>
      </c>
      <c r="D167" s="106">
        <v>9.524</v>
      </c>
      <c r="E167" s="100">
        <v>13.575</v>
      </c>
      <c r="F167" s="100">
        <v>-30</v>
      </c>
      <c r="G167" s="100">
        <v>-19</v>
      </c>
      <c r="H167" s="100">
        <v>1</v>
      </c>
      <c r="I167" s="100">
        <v>-39</v>
      </c>
      <c r="K167" s="105">
        <v>45544</v>
      </c>
      <c r="L167" s="100">
        <v>27.138</v>
      </c>
      <c r="M167" s="106">
        <v>15.513</v>
      </c>
      <c r="N167" s="100">
        <v>75</v>
      </c>
      <c r="O167" s="100">
        <v>45</v>
      </c>
      <c r="P167" s="100">
        <v>66</v>
      </c>
      <c r="Q167" s="100">
        <v>25</v>
      </c>
      <c r="S167" s="105">
        <v>45544</v>
      </c>
      <c r="T167" s="106">
        <f t="shared" si="2"/>
        <v>-5.989</v>
      </c>
    </row>
    <row r="168" spans="3:20">
      <c r="C168" s="105">
        <v>45541</v>
      </c>
      <c r="D168" s="106">
        <v>9.374</v>
      </c>
      <c r="E168" s="100">
        <v>13.593</v>
      </c>
      <c r="F168" s="100">
        <v>-31</v>
      </c>
      <c r="G168" s="100">
        <v>-19</v>
      </c>
      <c r="H168" s="100">
        <v>1</v>
      </c>
      <c r="I168" s="100">
        <v>-39</v>
      </c>
      <c r="K168" s="105">
        <v>45541</v>
      </c>
      <c r="L168" s="100">
        <v>26.643</v>
      </c>
      <c r="M168" s="106">
        <v>15.457</v>
      </c>
      <c r="N168" s="100">
        <v>72</v>
      </c>
      <c r="O168" s="100">
        <v>45</v>
      </c>
      <c r="P168" s="100">
        <v>66</v>
      </c>
      <c r="Q168" s="100">
        <v>25</v>
      </c>
      <c r="S168" s="105">
        <v>45541</v>
      </c>
      <c r="T168" s="106">
        <f t="shared" si="2"/>
        <v>-6.083</v>
      </c>
    </row>
    <row r="169" spans="3:20">
      <c r="C169" s="105">
        <v>45540</v>
      </c>
      <c r="D169" s="106">
        <v>9.423</v>
      </c>
      <c r="E169" s="100">
        <v>13.789</v>
      </c>
      <c r="F169" s="100">
        <v>-32</v>
      </c>
      <c r="G169" s="100">
        <v>-19</v>
      </c>
      <c r="H169" s="100">
        <v>1</v>
      </c>
      <c r="I169" s="100">
        <v>-39</v>
      </c>
      <c r="K169" s="105">
        <v>45540</v>
      </c>
      <c r="L169" s="100">
        <v>26.429</v>
      </c>
      <c r="M169" s="106">
        <v>15.595</v>
      </c>
      <c r="N169" s="100">
        <v>69</v>
      </c>
      <c r="O169" s="100">
        <v>45</v>
      </c>
      <c r="P169" s="100">
        <v>66</v>
      </c>
      <c r="Q169" s="100">
        <v>25</v>
      </c>
      <c r="S169" s="105">
        <v>45540</v>
      </c>
      <c r="T169" s="106">
        <f t="shared" si="2"/>
        <v>-6.172</v>
      </c>
    </row>
    <row r="170" spans="3:20">
      <c r="C170" s="105">
        <v>45539</v>
      </c>
      <c r="D170" s="106">
        <v>9.5</v>
      </c>
      <c r="E170" s="100">
        <v>13.969</v>
      </c>
      <c r="F170" s="100">
        <v>-32</v>
      </c>
      <c r="G170" s="100">
        <v>-19</v>
      </c>
      <c r="H170" s="100">
        <v>1</v>
      </c>
      <c r="I170" s="100">
        <v>-39</v>
      </c>
      <c r="K170" s="105">
        <v>45539</v>
      </c>
      <c r="L170" s="100">
        <v>26.558</v>
      </c>
      <c r="M170" s="106">
        <v>15.767</v>
      </c>
      <c r="N170" s="100">
        <v>68</v>
      </c>
      <c r="O170" s="100">
        <v>45</v>
      </c>
      <c r="P170" s="100">
        <v>66</v>
      </c>
      <c r="Q170" s="100">
        <v>25</v>
      </c>
      <c r="S170" s="105">
        <v>45539</v>
      </c>
      <c r="T170" s="106">
        <f t="shared" si="2"/>
        <v>-6.267</v>
      </c>
    </row>
    <row r="171" spans="3:20">
      <c r="C171" s="105">
        <v>45538</v>
      </c>
      <c r="D171" s="106">
        <v>9.53</v>
      </c>
      <c r="E171" s="100">
        <v>14.052</v>
      </c>
      <c r="F171" s="100">
        <v>-32</v>
      </c>
      <c r="G171" s="100">
        <v>-19</v>
      </c>
      <c r="H171" s="100">
        <v>1</v>
      </c>
      <c r="I171" s="100">
        <v>-39</v>
      </c>
      <c r="K171" s="105">
        <v>45538</v>
      </c>
      <c r="L171" s="100">
        <v>26.622</v>
      </c>
      <c r="M171" s="106">
        <v>15.848</v>
      </c>
      <c r="N171" s="100">
        <v>68</v>
      </c>
      <c r="O171" s="100">
        <v>45</v>
      </c>
      <c r="P171" s="100">
        <v>66</v>
      </c>
      <c r="Q171" s="100">
        <v>25</v>
      </c>
      <c r="S171" s="105">
        <v>45538</v>
      </c>
      <c r="T171" s="106">
        <f t="shared" si="2"/>
        <v>-6.318</v>
      </c>
    </row>
    <row r="172" spans="3:20">
      <c r="C172" s="105">
        <v>45537</v>
      </c>
      <c r="D172" s="106">
        <v>9.628</v>
      </c>
      <c r="E172" s="100">
        <v>14.107</v>
      </c>
      <c r="F172" s="100">
        <v>-32</v>
      </c>
      <c r="G172" s="100">
        <v>-19</v>
      </c>
      <c r="H172" s="100">
        <v>1</v>
      </c>
      <c r="I172" s="100">
        <v>-39</v>
      </c>
      <c r="K172" s="105">
        <v>45537</v>
      </c>
      <c r="L172" s="100">
        <v>26.607</v>
      </c>
      <c r="M172" s="106">
        <v>15.893</v>
      </c>
      <c r="N172" s="100">
        <v>67</v>
      </c>
      <c r="O172" s="100">
        <v>45</v>
      </c>
      <c r="P172" s="100">
        <v>66</v>
      </c>
      <c r="Q172" s="100">
        <v>25</v>
      </c>
      <c r="S172" s="105">
        <v>45537</v>
      </c>
      <c r="T172" s="106">
        <f t="shared" si="2"/>
        <v>-6.265</v>
      </c>
    </row>
    <row r="173" spans="3:20">
      <c r="C173" s="105">
        <v>45534</v>
      </c>
      <c r="D173" s="106">
        <v>9.856</v>
      </c>
      <c r="E173" s="100">
        <v>14.192</v>
      </c>
      <c r="F173" s="100">
        <v>-31</v>
      </c>
      <c r="G173" s="100">
        <v>-19</v>
      </c>
      <c r="H173" s="100">
        <v>1</v>
      </c>
      <c r="I173" s="100">
        <v>-39</v>
      </c>
      <c r="K173" s="105">
        <v>45534</v>
      </c>
      <c r="L173" s="100">
        <v>26.851</v>
      </c>
      <c r="M173" s="106">
        <v>16</v>
      </c>
      <c r="N173" s="100">
        <v>68</v>
      </c>
      <c r="O173" s="100">
        <v>45</v>
      </c>
      <c r="P173" s="100">
        <v>66</v>
      </c>
      <c r="Q173" s="100">
        <v>25</v>
      </c>
      <c r="S173" s="105">
        <v>45534</v>
      </c>
      <c r="T173" s="106">
        <f t="shared" si="2"/>
        <v>-6.144</v>
      </c>
    </row>
    <row r="174" spans="3:20">
      <c r="C174" s="105">
        <v>45533</v>
      </c>
      <c r="D174" s="106">
        <v>9.866</v>
      </c>
      <c r="E174" s="100">
        <v>14.227</v>
      </c>
      <c r="F174" s="100">
        <v>-31</v>
      </c>
      <c r="G174" s="100">
        <v>-19</v>
      </c>
      <c r="H174" s="100">
        <v>1</v>
      </c>
      <c r="I174" s="100">
        <v>-39</v>
      </c>
      <c r="K174" s="105">
        <v>45533</v>
      </c>
      <c r="L174" s="100">
        <v>26.806</v>
      </c>
      <c r="M174" s="106">
        <v>16.024</v>
      </c>
      <c r="N174" s="100">
        <v>67</v>
      </c>
      <c r="O174" s="100">
        <v>45</v>
      </c>
      <c r="P174" s="100">
        <v>66</v>
      </c>
      <c r="Q174" s="100">
        <v>25</v>
      </c>
      <c r="S174" s="105">
        <v>45533</v>
      </c>
      <c r="T174" s="106">
        <f t="shared" si="2"/>
        <v>-6.158</v>
      </c>
    </row>
    <row r="175" spans="3:20">
      <c r="C175" s="105">
        <v>45532</v>
      </c>
      <c r="D175" s="106">
        <v>9.818</v>
      </c>
      <c r="E175" s="100">
        <v>14.144</v>
      </c>
      <c r="F175" s="100">
        <v>-31</v>
      </c>
      <c r="G175" s="100">
        <v>-19</v>
      </c>
      <c r="H175" s="100">
        <v>1</v>
      </c>
      <c r="I175" s="100">
        <v>-39</v>
      </c>
      <c r="K175" s="105">
        <v>45532</v>
      </c>
      <c r="L175" s="100">
        <v>26.792</v>
      </c>
      <c r="M175" s="106">
        <v>15.951</v>
      </c>
      <c r="N175" s="100">
        <v>68</v>
      </c>
      <c r="O175" s="100">
        <v>45</v>
      </c>
      <c r="P175" s="100">
        <v>66</v>
      </c>
      <c r="Q175" s="100">
        <v>25</v>
      </c>
      <c r="S175" s="105">
        <v>45532</v>
      </c>
      <c r="T175" s="106">
        <f t="shared" si="2"/>
        <v>-6.133</v>
      </c>
    </row>
    <row r="176" spans="3:20">
      <c r="C176" s="105">
        <v>45531</v>
      </c>
      <c r="D176" s="106">
        <v>10.238</v>
      </c>
      <c r="E176" s="100">
        <v>14.404</v>
      </c>
      <c r="F176" s="100">
        <v>-29</v>
      </c>
      <c r="G176" s="100">
        <v>-19</v>
      </c>
      <c r="H176" s="100">
        <v>1</v>
      </c>
      <c r="I176" s="100">
        <v>-39</v>
      </c>
      <c r="K176" s="105">
        <v>45531</v>
      </c>
      <c r="L176" s="100">
        <v>26.581</v>
      </c>
      <c r="M176" s="106">
        <v>16.144</v>
      </c>
      <c r="N176" s="100">
        <v>65</v>
      </c>
      <c r="O176" s="100">
        <v>45</v>
      </c>
      <c r="P176" s="100">
        <v>66</v>
      </c>
      <c r="Q176" s="100">
        <v>25</v>
      </c>
      <c r="S176" s="105">
        <v>45531</v>
      </c>
      <c r="T176" s="106">
        <f t="shared" si="2"/>
        <v>-5.906</v>
      </c>
    </row>
    <row r="177" spans="3:20">
      <c r="C177" s="105">
        <v>45527</v>
      </c>
      <c r="D177" s="106">
        <v>10.692</v>
      </c>
      <c r="E177" s="100">
        <v>14.612</v>
      </c>
      <c r="F177" s="100">
        <v>-27</v>
      </c>
      <c r="G177" s="100">
        <v>-19</v>
      </c>
      <c r="H177" s="100">
        <v>1</v>
      </c>
      <c r="I177" s="100">
        <v>-39</v>
      </c>
      <c r="K177" s="105">
        <v>45527</v>
      </c>
      <c r="L177" s="100">
        <v>26.281</v>
      </c>
      <c r="M177" s="106">
        <v>16.279</v>
      </c>
      <c r="N177" s="100">
        <v>61</v>
      </c>
      <c r="O177" s="100">
        <v>45</v>
      </c>
      <c r="P177" s="100">
        <v>66</v>
      </c>
      <c r="Q177" s="100">
        <v>25</v>
      </c>
      <c r="S177" s="105">
        <v>45527</v>
      </c>
      <c r="T177" s="106">
        <f t="shared" si="2"/>
        <v>-5.587</v>
      </c>
    </row>
    <row r="178" spans="3:20">
      <c r="C178" s="105">
        <v>45526</v>
      </c>
      <c r="D178" s="106">
        <v>10.164</v>
      </c>
      <c r="E178" s="100">
        <v>14.281</v>
      </c>
      <c r="F178" s="100">
        <v>-29</v>
      </c>
      <c r="G178" s="100">
        <v>-19</v>
      </c>
      <c r="H178" s="100">
        <v>1</v>
      </c>
      <c r="I178" s="100">
        <v>-39</v>
      </c>
      <c r="K178" s="105">
        <v>45526</v>
      </c>
      <c r="L178" s="100">
        <v>26.288</v>
      </c>
      <c r="M178" s="106">
        <v>15.996</v>
      </c>
      <c r="N178" s="100">
        <v>64</v>
      </c>
      <c r="O178" s="100">
        <v>45</v>
      </c>
      <c r="P178" s="100">
        <v>66</v>
      </c>
      <c r="Q178" s="100">
        <v>25</v>
      </c>
      <c r="S178" s="105">
        <v>45526</v>
      </c>
      <c r="T178" s="106">
        <f t="shared" si="2"/>
        <v>-5.832</v>
      </c>
    </row>
    <row r="179" spans="3:20">
      <c r="C179" s="105">
        <v>45525</v>
      </c>
      <c r="D179" s="106">
        <v>9.122</v>
      </c>
      <c r="E179" s="100">
        <v>14.013</v>
      </c>
      <c r="F179" s="100">
        <v>-35</v>
      </c>
      <c r="G179" s="100">
        <v>-19</v>
      </c>
      <c r="H179" s="100">
        <v>1</v>
      </c>
      <c r="I179" s="100">
        <v>-39</v>
      </c>
      <c r="K179" s="105">
        <v>45525</v>
      </c>
      <c r="L179" s="100">
        <v>26.184</v>
      </c>
      <c r="M179" s="106">
        <v>15.751</v>
      </c>
      <c r="N179" s="100">
        <v>66</v>
      </c>
      <c r="O179" s="100">
        <v>45</v>
      </c>
      <c r="P179" s="100">
        <v>66</v>
      </c>
      <c r="Q179" s="100">
        <v>25</v>
      </c>
      <c r="S179" s="105">
        <v>45525</v>
      </c>
      <c r="T179" s="106">
        <f t="shared" si="2"/>
        <v>-6.629</v>
      </c>
    </row>
    <row r="180" spans="3:20">
      <c r="C180" s="105">
        <v>45524</v>
      </c>
      <c r="D180" s="106">
        <v>8.837</v>
      </c>
      <c r="E180" s="100">
        <v>13.909</v>
      </c>
      <c r="F180" s="100">
        <v>-36</v>
      </c>
      <c r="G180" s="100">
        <v>-19</v>
      </c>
      <c r="H180" s="100">
        <v>1</v>
      </c>
      <c r="I180" s="100">
        <v>-39</v>
      </c>
      <c r="K180" s="105">
        <v>45524</v>
      </c>
      <c r="L180" s="100">
        <v>26.149</v>
      </c>
      <c r="M180" s="106">
        <v>15.657</v>
      </c>
      <c r="N180" s="100">
        <v>67</v>
      </c>
      <c r="O180" s="100">
        <v>45</v>
      </c>
      <c r="P180" s="100">
        <v>66</v>
      </c>
      <c r="Q180" s="100">
        <v>25</v>
      </c>
      <c r="S180" s="105">
        <v>45524</v>
      </c>
      <c r="T180" s="106">
        <f t="shared" si="2"/>
        <v>-6.82</v>
      </c>
    </row>
    <row r="181" spans="3:20">
      <c r="C181" s="105">
        <v>45523</v>
      </c>
      <c r="D181" s="106">
        <v>9.247</v>
      </c>
      <c r="E181" s="100">
        <v>14.051</v>
      </c>
      <c r="F181" s="100">
        <v>-34</v>
      </c>
      <c r="G181" s="100">
        <v>-19</v>
      </c>
      <c r="H181" s="100">
        <v>1</v>
      </c>
      <c r="I181" s="100">
        <v>-39</v>
      </c>
      <c r="K181" s="105">
        <v>45523</v>
      </c>
      <c r="L181" s="100">
        <v>26.234</v>
      </c>
      <c r="M181" s="106">
        <v>15.791</v>
      </c>
      <c r="N181" s="100">
        <v>66</v>
      </c>
      <c r="O181" s="100">
        <v>45</v>
      </c>
      <c r="P181" s="100">
        <v>66</v>
      </c>
      <c r="Q181" s="100">
        <v>25</v>
      </c>
      <c r="S181" s="105">
        <v>45523</v>
      </c>
      <c r="T181" s="106">
        <f t="shared" si="2"/>
        <v>-6.544</v>
      </c>
    </row>
    <row r="182" spans="3:20">
      <c r="C182" s="105">
        <v>45520</v>
      </c>
      <c r="D182" s="106">
        <v>9.111</v>
      </c>
      <c r="E182" s="100">
        <v>13.791</v>
      </c>
      <c r="F182" s="100">
        <v>-34</v>
      </c>
      <c r="G182" s="100">
        <v>-19</v>
      </c>
      <c r="H182" s="100">
        <v>1</v>
      </c>
      <c r="I182" s="100">
        <v>-39</v>
      </c>
      <c r="K182" s="105">
        <v>45520</v>
      </c>
      <c r="L182" s="100">
        <v>26.234</v>
      </c>
      <c r="M182" s="106">
        <v>15.568</v>
      </c>
      <c r="N182" s="100">
        <v>69</v>
      </c>
      <c r="O182" s="100">
        <v>45</v>
      </c>
      <c r="P182" s="100">
        <v>66</v>
      </c>
      <c r="Q182" s="100">
        <v>25</v>
      </c>
      <c r="S182" s="105">
        <v>45520</v>
      </c>
      <c r="T182" s="106">
        <f t="shared" si="2"/>
        <v>-6.457</v>
      </c>
    </row>
    <row r="183" spans="3:20">
      <c r="C183" s="105">
        <v>45519</v>
      </c>
      <c r="D183" s="106">
        <v>9.088</v>
      </c>
      <c r="E183" s="100">
        <v>13.654</v>
      </c>
      <c r="F183" s="100">
        <v>-33</v>
      </c>
      <c r="G183" s="100">
        <v>-19</v>
      </c>
      <c r="H183" s="100">
        <v>1</v>
      </c>
      <c r="I183" s="100">
        <v>-39</v>
      </c>
      <c r="K183" s="105">
        <v>45519</v>
      </c>
      <c r="L183" s="100">
        <v>26.226</v>
      </c>
      <c r="M183" s="106">
        <v>15.45</v>
      </c>
      <c r="N183" s="100">
        <v>70</v>
      </c>
      <c r="O183" s="100">
        <v>45</v>
      </c>
      <c r="P183" s="100">
        <v>66</v>
      </c>
      <c r="Q183" s="100">
        <v>25</v>
      </c>
      <c r="S183" s="105">
        <v>45519</v>
      </c>
      <c r="T183" s="106">
        <f t="shared" si="2"/>
        <v>-6.362</v>
      </c>
    </row>
    <row r="184" spans="3:20">
      <c r="C184" s="105">
        <v>45518</v>
      </c>
      <c r="D184" s="106">
        <v>8.838</v>
      </c>
      <c r="E184" s="100">
        <v>13.441</v>
      </c>
      <c r="F184" s="100">
        <v>-34</v>
      </c>
      <c r="G184" s="100">
        <v>-19</v>
      </c>
      <c r="H184" s="100">
        <v>1</v>
      </c>
      <c r="I184" s="100">
        <v>-39</v>
      </c>
      <c r="K184" s="105">
        <v>45518</v>
      </c>
      <c r="L184" s="100">
        <v>26.311</v>
      </c>
      <c r="M184" s="106">
        <v>15.279</v>
      </c>
      <c r="N184" s="100">
        <v>72</v>
      </c>
      <c r="O184" s="100">
        <v>45</v>
      </c>
      <c r="P184" s="100">
        <v>66</v>
      </c>
      <c r="Q184" s="100">
        <v>25</v>
      </c>
      <c r="S184" s="105">
        <v>45518</v>
      </c>
      <c r="T184" s="106">
        <f t="shared" si="2"/>
        <v>-6.441</v>
      </c>
    </row>
    <row r="185" spans="3:20">
      <c r="C185" s="105">
        <v>45517</v>
      </c>
      <c r="D185" s="106">
        <v>8.749</v>
      </c>
      <c r="E185" s="100">
        <v>13.377</v>
      </c>
      <c r="F185" s="100">
        <v>-35</v>
      </c>
      <c r="G185" s="100">
        <v>-19</v>
      </c>
      <c r="H185" s="100">
        <v>1</v>
      </c>
      <c r="I185" s="100">
        <v>-39</v>
      </c>
      <c r="K185" s="105">
        <v>45517</v>
      </c>
      <c r="L185" s="100">
        <v>26.271</v>
      </c>
      <c r="M185" s="106">
        <v>15.219</v>
      </c>
      <c r="N185" s="100">
        <v>73</v>
      </c>
      <c r="O185" s="100">
        <v>45</v>
      </c>
      <c r="P185" s="100">
        <v>66</v>
      </c>
      <c r="Q185" s="100">
        <v>25</v>
      </c>
      <c r="S185" s="105">
        <v>45517</v>
      </c>
      <c r="T185" s="106">
        <f t="shared" si="2"/>
        <v>-6.47</v>
      </c>
    </row>
    <row r="186" spans="3:20">
      <c r="C186" s="105">
        <v>45516</v>
      </c>
      <c r="D186" s="106">
        <v>8.66</v>
      </c>
      <c r="E186" s="100">
        <v>13.296</v>
      </c>
      <c r="F186" s="100">
        <v>-35</v>
      </c>
      <c r="G186" s="100">
        <v>-19</v>
      </c>
      <c r="H186" s="100">
        <v>1</v>
      </c>
      <c r="I186" s="100">
        <v>-39</v>
      </c>
      <c r="K186" s="105">
        <v>45516</v>
      </c>
      <c r="L186" s="100">
        <v>26.182</v>
      </c>
      <c r="M186" s="106">
        <v>15.137</v>
      </c>
      <c r="N186" s="100">
        <v>73</v>
      </c>
      <c r="O186" s="100">
        <v>45</v>
      </c>
      <c r="P186" s="100">
        <v>66</v>
      </c>
      <c r="Q186" s="100">
        <v>25</v>
      </c>
      <c r="S186" s="105">
        <v>45516</v>
      </c>
      <c r="T186" s="106">
        <f t="shared" si="2"/>
        <v>-6.477</v>
      </c>
    </row>
    <row r="187" spans="3:20">
      <c r="C187" s="105">
        <v>45513</v>
      </c>
      <c r="D187" s="106">
        <v>9.003</v>
      </c>
      <c r="E187" s="100">
        <v>13.421</v>
      </c>
      <c r="F187" s="100">
        <v>-33</v>
      </c>
      <c r="G187" s="100">
        <v>-19</v>
      </c>
      <c r="H187" s="100">
        <v>1</v>
      </c>
      <c r="I187" s="100">
        <v>-39</v>
      </c>
      <c r="K187" s="105">
        <v>45513</v>
      </c>
      <c r="L187" s="100">
        <v>25.908</v>
      </c>
      <c r="M187" s="106">
        <v>15.205</v>
      </c>
      <c r="N187" s="100">
        <v>70</v>
      </c>
      <c r="O187" s="100">
        <v>45</v>
      </c>
      <c r="P187" s="100">
        <v>66</v>
      </c>
      <c r="Q187" s="100">
        <v>25</v>
      </c>
      <c r="S187" s="105">
        <v>45513</v>
      </c>
      <c r="T187" s="106">
        <f t="shared" si="2"/>
        <v>-6.202</v>
      </c>
    </row>
    <row r="188" spans="3:20">
      <c r="C188" s="105">
        <v>45512</v>
      </c>
      <c r="D188" s="106">
        <v>8.8</v>
      </c>
      <c r="E188" s="100">
        <v>13.326</v>
      </c>
      <c r="F188" s="100">
        <v>-34</v>
      </c>
      <c r="G188" s="100">
        <v>-19</v>
      </c>
      <c r="H188" s="100">
        <v>1</v>
      </c>
      <c r="I188" s="100">
        <v>-39</v>
      </c>
      <c r="K188" s="105">
        <v>45512</v>
      </c>
      <c r="L188" s="100">
        <v>25.675</v>
      </c>
      <c r="M188" s="106">
        <v>15.091</v>
      </c>
      <c r="N188" s="100">
        <v>70</v>
      </c>
      <c r="O188" s="100">
        <v>45</v>
      </c>
      <c r="P188" s="100">
        <v>66</v>
      </c>
      <c r="Q188" s="100">
        <v>25</v>
      </c>
      <c r="S188" s="105">
        <v>45512</v>
      </c>
      <c r="T188" s="106">
        <f t="shared" si="2"/>
        <v>-6.291</v>
      </c>
    </row>
    <row r="189" spans="3:20">
      <c r="C189" s="105">
        <v>45511</v>
      </c>
      <c r="D189" s="106">
        <v>9.045</v>
      </c>
      <c r="E189" s="100">
        <v>13.407</v>
      </c>
      <c r="F189" s="100">
        <v>-33</v>
      </c>
      <c r="G189" s="100">
        <v>-19</v>
      </c>
      <c r="H189" s="100">
        <v>1</v>
      </c>
      <c r="I189" s="100">
        <v>-39</v>
      </c>
      <c r="K189" s="105">
        <v>45511</v>
      </c>
      <c r="L189" s="100">
        <v>25.447</v>
      </c>
      <c r="M189" s="106">
        <v>15.127</v>
      </c>
      <c r="N189" s="100">
        <v>68</v>
      </c>
      <c r="O189" s="100">
        <v>45</v>
      </c>
      <c r="P189" s="100">
        <v>66</v>
      </c>
      <c r="Q189" s="100">
        <v>25</v>
      </c>
      <c r="S189" s="105">
        <v>45511</v>
      </c>
      <c r="T189" s="106">
        <f t="shared" si="2"/>
        <v>-6.082</v>
      </c>
    </row>
    <row r="190" spans="3:20">
      <c r="C190" s="105">
        <v>45510</v>
      </c>
      <c r="D190" s="106">
        <v>8.867</v>
      </c>
      <c r="E190" s="100">
        <v>13.28</v>
      </c>
      <c r="F190" s="100">
        <v>-33</v>
      </c>
      <c r="G190" s="100">
        <v>-19</v>
      </c>
      <c r="H190" s="100">
        <v>1</v>
      </c>
      <c r="I190" s="100">
        <v>-39</v>
      </c>
      <c r="K190" s="105">
        <v>45510</v>
      </c>
      <c r="L190" s="100">
        <v>24.965</v>
      </c>
      <c r="M190" s="106">
        <v>14.949</v>
      </c>
      <c r="N190" s="100">
        <v>67</v>
      </c>
      <c r="O190" s="100">
        <v>45</v>
      </c>
      <c r="P190" s="100">
        <v>66</v>
      </c>
      <c r="Q190" s="100">
        <v>25</v>
      </c>
      <c r="S190" s="105">
        <v>45510</v>
      </c>
      <c r="T190" s="106">
        <f t="shared" si="2"/>
        <v>-6.082</v>
      </c>
    </row>
    <row r="191" spans="3:20">
      <c r="C191" s="105">
        <v>45509</v>
      </c>
      <c r="D191" s="106">
        <v>8.627</v>
      </c>
      <c r="E191" s="100">
        <v>13.295</v>
      </c>
      <c r="F191" s="100">
        <v>-35</v>
      </c>
      <c r="G191" s="100">
        <v>-19</v>
      </c>
      <c r="H191" s="100">
        <v>1</v>
      </c>
      <c r="I191" s="100">
        <v>-39</v>
      </c>
      <c r="K191" s="105">
        <v>45509</v>
      </c>
      <c r="L191" s="100">
        <v>25.146</v>
      </c>
      <c r="M191" s="106">
        <v>14.988</v>
      </c>
      <c r="N191" s="100">
        <v>68</v>
      </c>
      <c r="O191" s="100">
        <v>45</v>
      </c>
      <c r="P191" s="100">
        <v>66</v>
      </c>
      <c r="Q191" s="100">
        <v>25</v>
      </c>
      <c r="S191" s="105">
        <v>45509</v>
      </c>
      <c r="T191" s="106">
        <f t="shared" si="2"/>
        <v>-6.361</v>
      </c>
    </row>
    <row r="192" spans="3:20">
      <c r="C192" s="105">
        <v>45506</v>
      </c>
      <c r="D192" s="106">
        <v>8.935</v>
      </c>
      <c r="E192" s="100">
        <v>13.508</v>
      </c>
      <c r="F192" s="100">
        <v>-34</v>
      </c>
      <c r="G192" s="100">
        <v>-19</v>
      </c>
      <c r="H192" s="100">
        <v>1</v>
      </c>
      <c r="I192" s="100">
        <v>-39</v>
      </c>
      <c r="K192" s="105">
        <v>45506</v>
      </c>
      <c r="L192" s="100">
        <v>25.541</v>
      </c>
      <c r="M192" s="106">
        <v>15.227</v>
      </c>
      <c r="N192" s="100">
        <v>68</v>
      </c>
      <c r="O192" s="100">
        <v>45</v>
      </c>
      <c r="P192" s="100">
        <v>66</v>
      </c>
      <c r="Q192" s="100">
        <v>25</v>
      </c>
      <c r="S192" s="105">
        <v>45506</v>
      </c>
      <c r="T192" s="106">
        <f t="shared" si="2"/>
        <v>-6.292</v>
      </c>
    </row>
    <row r="193" spans="3:20">
      <c r="C193" s="105">
        <v>45505</v>
      </c>
      <c r="D193" s="106">
        <v>9.565</v>
      </c>
      <c r="E193" s="100">
        <v>13.873</v>
      </c>
      <c r="F193" s="100">
        <v>-31</v>
      </c>
      <c r="G193" s="100">
        <v>-19</v>
      </c>
      <c r="H193" s="100">
        <v>1</v>
      </c>
      <c r="I193" s="100">
        <v>-39</v>
      </c>
      <c r="K193" s="105">
        <v>45505</v>
      </c>
      <c r="L193" s="100">
        <v>25.912</v>
      </c>
      <c r="M193" s="106">
        <v>15.593</v>
      </c>
      <c r="N193" s="100">
        <v>66</v>
      </c>
      <c r="O193" s="100">
        <v>45</v>
      </c>
      <c r="P193" s="100">
        <v>66</v>
      </c>
      <c r="Q193" s="100">
        <v>25</v>
      </c>
      <c r="S193" s="105">
        <v>45505</v>
      </c>
      <c r="T193" s="106">
        <f t="shared" si="2"/>
        <v>-6.028</v>
      </c>
    </row>
    <row r="194" spans="3:20">
      <c r="C194" s="105">
        <v>45504</v>
      </c>
      <c r="D194" s="106">
        <v>9.509</v>
      </c>
      <c r="E194" s="100">
        <v>13.635</v>
      </c>
      <c r="F194" s="100">
        <v>-30</v>
      </c>
      <c r="G194" s="100">
        <v>-19</v>
      </c>
      <c r="H194" s="100">
        <v>1</v>
      </c>
      <c r="I194" s="100">
        <v>-39</v>
      </c>
      <c r="K194" s="105">
        <v>45504</v>
      </c>
      <c r="L194" s="100">
        <v>24.826</v>
      </c>
      <c r="M194" s="106">
        <v>15.234</v>
      </c>
      <c r="N194" s="100">
        <v>63</v>
      </c>
      <c r="O194" s="100">
        <v>45</v>
      </c>
      <c r="P194" s="100">
        <v>66</v>
      </c>
      <c r="Q194" s="100">
        <v>25</v>
      </c>
      <c r="S194" s="105">
        <v>45504</v>
      </c>
      <c r="T194" s="106">
        <f t="shared" si="2"/>
        <v>-5.725</v>
      </c>
    </row>
    <row r="195" spans="3:20">
      <c r="C195" s="105">
        <v>45503</v>
      </c>
      <c r="D195" s="106">
        <v>9.361</v>
      </c>
      <c r="E195" s="100">
        <v>13.636</v>
      </c>
      <c r="F195" s="100">
        <v>-31</v>
      </c>
      <c r="G195" s="100">
        <v>-19</v>
      </c>
      <c r="H195" s="100">
        <v>1</v>
      </c>
      <c r="I195" s="100">
        <v>-39</v>
      </c>
      <c r="K195" s="105">
        <v>45503</v>
      </c>
      <c r="L195" s="100">
        <v>24.822</v>
      </c>
      <c r="M195" s="106">
        <v>15.234</v>
      </c>
      <c r="N195" s="100">
        <v>63</v>
      </c>
      <c r="O195" s="100">
        <v>45</v>
      </c>
      <c r="P195" s="100">
        <v>66</v>
      </c>
      <c r="Q195" s="100">
        <v>25</v>
      </c>
      <c r="S195" s="105">
        <v>45503</v>
      </c>
      <c r="T195" s="106">
        <f t="shared" si="2"/>
        <v>-5.873</v>
      </c>
    </row>
    <row r="196" spans="3:20">
      <c r="C196" s="105">
        <v>45502</v>
      </c>
      <c r="D196" s="106">
        <v>9.279</v>
      </c>
      <c r="E196" s="100">
        <v>13.471</v>
      </c>
      <c r="F196" s="100">
        <v>-31</v>
      </c>
      <c r="G196" s="100">
        <v>-19</v>
      </c>
      <c r="H196" s="100">
        <v>1</v>
      </c>
      <c r="I196" s="100">
        <v>-39</v>
      </c>
      <c r="K196" s="105">
        <v>45502</v>
      </c>
      <c r="L196" s="100">
        <v>24.833</v>
      </c>
      <c r="M196" s="106">
        <v>15.094</v>
      </c>
      <c r="N196" s="100">
        <v>65</v>
      </c>
      <c r="O196" s="100">
        <v>45</v>
      </c>
      <c r="P196" s="100">
        <v>66</v>
      </c>
      <c r="Q196" s="100">
        <v>25</v>
      </c>
      <c r="S196" s="105">
        <v>45502</v>
      </c>
      <c r="T196" s="106">
        <f t="shared" si="2"/>
        <v>-5.815</v>
      </c>
    </row>
    <row r="197" spans="3:20">
      <c r="C197" s="105">
        <v>45499</v>
      </c>
      <c r="D197" s="106">
        <v>8.885</v>
      </c>
      <c r="E197" s="100">
        <v>13.445</v>
      </c>
      <c r="F197" s="100">
        <v>-34</v>
      </c>
      <c r="G197" s="100">
        <v>-19</v>
      </c>
      <c r="H197" s="100">
        <v>1</v>
      </c>
      <c r="I197" s="100">
        <v>-39</v>
      </c>
      <c r="K197" s="105">
        <v>45499</v>
      </c>
      <c r="L197" s="100">
        <v>24.876</v>
      </c>
      <c r="M197" s="106">
        <v>15.078</v>
      </c>
      <c r="N197" s="100">
        <v>65</v>
      </c>
      <c r="O197" s="100">
        <v>45</v>
      </c>
      <c r="P197" s="100">
        <v>66</v>
      </c>
      <c r="Q197" s="100">
        <v>25</v>
      </c>
      <c r="S197" s="105">
        <v>45499</v>
      </c>
      <c r="T197" s="106">
        <f t="shared" si="2"/>
        <v>-6.193</v>
      </c>
    </row>
    <row r="198" spans="3:20">
      <c r="C198" s="105">
        <v>45498</v>
      </c>
      <c r="D198" s="106">
        <v>8.669</v>
      </c>
      <c r="E198" s="100">
        <v>13.283</v>
      </c>
      <c r="F198" s="100">
        <v>-35</v>
      </c>
      <c r="G198" s="100">
        <v>-19</v>
      </c>
      <c r="H198" s="100">
        <v>1</v>
      </c>
      <c r="I198" s="100">
        <v>-39</v>
      </c>
      <c r="K198" s="105">
        <v>45498</v>
      </c>
      <c r="L198" s="100">
        <v>24.609</v>
      </c>
      <c r="M198" s="106">
        <v>14.901</v>
      </c>
      <c r="N198" s="100">
        <v>65</v>
      </c>
      <c r="O198" s="100">
        <v>45</v>
      </c>
      <c r="P198" s="100">
        <v>66</v>
      </c>
      <c r="Q198" s="100">
        <v>25</v>
      </c>
      <c r="S198" s="105">
        <v>45498</v>
      </c>
      <c r="T198" s="106">
        <f t="shared" si="2"/>
        <v>-6.232</v>
      </c>
    </row>
    <row r="199" spans="3:20">
      <c r="C199" s="105">
        <v>45497</v>
      </c>
      <c r="D199" s="106">
        <v>8.826</v>
      </c>
      <c r="E199" s="100">
        <v>13.387</v>
      </c>
      <c r="F199" s="100">
        <v>-34</v>
      </c>
      <c r="G199" s="100">
        <v>-19</v>
      </c>
      <c r="H199" s="100">
        <v>1</v>
      </c>
      <c r="I199" s="100">
        <v>-39</v>
      </c>
      <c r="K199" s="105">
        <v>45497</v>
      </c>
      <c r="L199" s="100">
        <v>24.796</v>
      </c>
      <c r="M199" s="106">
        <v>15.017</v>
      </c>
      <c r="N199" s="100">
        <v>65</v>
      </c>
      <c r="O199" s="100">
        <v>45</v>
      </c>
      <c r="P199" s="100">
        <v>66</v>
      </c>
      <c r="Q199" s="100">
        <v>25</v>
      </c>
      <c r="S199" s="105">
        <v>45497</v>
      </c>
      <c r="T199" s="106">
        <f t="shared" si="2"/>
        <v>-6.191</v>
      </c>
    </row>
    <row r="200" spans="3:20">
      <c r="C200" s="105">
        <v>45496</v>
      </c>
      <c r="D200" s="106">
        <v>8.717</v>
      </c>
      <c r="E200" s="100">
        <v>13.502</v>
      </c>
      <c r="F200" s="100">
        <v>-35</v>
      </c>
      <c r="G200" s="100">
        <v>-19</v>
      </c>
      <c r="H200" s="100">
        <v>1</v>
      </c>
      <c r="I200" s="100">
        <v>-39</v>
      </c>
      <c r="K200" s="105">
        <v>45496</v>
      </c>
      <c r="L200" s="100">
        <v>24.854</v>
      </c>
      <c r="M200" s="106">
        <v>15.124</v>
      </c>
      <c r="N200" s="100">
        <v>64</v>
      </c>
      <c r="O200" s="100">
        <v>45</v>
      </c>
      <c r="P200" s="100">
        <v>66</v>
      </c>
      <c r="Q200" s="100">
        <v>25</v>
      </c>
      <c r="S200" s="105">
        <v>45496</v>
      </c>
      <c r="T200" s="106">
        <f t="shared" si="2"/>
        <v>-6.407</v>
      </c>
    </row>
    <row r="201" spans="3:20">
      <c r="C201" s="105">
        <v>45495</v>
      </c>
      <c r="D201" s="106">
        <v>8.58</v>
      </c>
      <c r="E201" s="100">
        <v>13.518</v>
      </c>
      <c r="F201" s="100">
        <v>-37</v>
      </c>
      <c r="G201" s="100">
        <v>-19</v>
      </c>
      <c r="H201" s="100">
        <v>1</v>
      </c>
      <c r="I201" s="100">
        <v>-39</v>
      </c>
      <c r="K201" s="105">
        <v>45495</v>
      </c>
      <c r="L201" s="100">
        <v>24.811</v>
      </c>
      <c r="M201" s="106">
        <v>15.131</v>
      </c>
      <c r="N201" s="100">
        <v>64</v>
      </c>
      <c r="O201" s="100">
        <v>45</v>
      </c>
      <c r="P201" s="100">
        <v>66</v>
      </c>
      <c r="Q201" s="100">
        <v>25</v>
      </c>
      <c r="S201" s="105">
        <v>45495</v>
      </c>
      <c r="T201" s="106">
        <f t="shared" si="2"/>
        <v>-6.551</v>
      </c>
    </row>
    <row r="202" spans="3:20">
      <c r="C202" s="105">
        <v>45492</v>
      </c>
      <c r="D202" s="106">
        <v>8.561</v>
      </c>
      <c r="E202" s="100">
        <v>13.522</v>
      </c>
      <c r="F202" s="100">
        <v>-37</v>
      </c>
      <c r="G202" s="100">
        <v>-19</v>
      </c>
      <c r="H202" s="100">
        <v>1</v>
      </c>
      <c r="I202" s="100">
        <v>-39</v>
      </c>
      <c r="K202" s="105">
        <v>45492</v>
      </c>
      <c r="L202" s="100">
        <v>24.79</v>
      </c>
      <c r="M202" s="106">
        <v>15.131</v>
      </c>
      <c r="N202" s="100">
        <v>64</v>
      </c>
      <c r="O202" s="100">
        <v>45</v>
      </c>
      <c r="P202" s="100">
        <v>66</v>
      </c>
      <c r="Q202" s="100">
        <v>25</v>
      </c>
      <c r="S202" s="105">
        <v>45492</v>
      </c>
      <c r="T202" s="106">
        <f t="shared" si="2"/>
        <v>-6.57</v>
      </c>
    </row>
    <row r="203" spans="3:20">
      <c r="C203" s="105">
        <v>45491</v>
      </c>
      <c r="D203" s="106">
        <v>8.837</v>
      </c>
      <c r="E203" s="100">
        <v>13.661</v>
      </c>
      <c r="F203" s="100">
        <v>-35</v>
      </c>
      <c r="G203" s="100">
        <v>-19</v>
      </c>
      <c r="H203" s="100">
        <v>1</v>
      </c>
      <c r="I203" s="100">
        <v>-39</v>
      </c>
      <c r="K203" s="105">
        <v>45491</v>
      </c>
      <c r="L203" s="100">
        <v>24.923</v>
      </c>
      <c r="M203" s="106">
        <v>15.27</v>
      </c>
      <c r="N203" s="100">
        <v>63</v>
      </c>
      <c r="O203" s="100">
        <v>45</v>
      </c>
      <c r="P203" s="100">
        <v>66</v>
      </c>
      <c r="Q203" s="100">
        <v>25</v>
      </c>
      <c r="S203" s="105">
        <v>45491</v>
      </c>
      <c r="T203" s="106">
        <f t="shared" si="2"/>
        <v>-6.433</v>
      </c>
    </row>
    <row r="204" spans="3:20">
      <c r="C204" s="105">
        <v>45490</v>
      </c>
      <c r="D204" s="106">
        <v>8.559</v>
      </c>
      <c r="E204" s="100">
        <v>13.466</v>
      </c>
      <c r="F204" s="100">
        <v>-36</v>
      </c>
      <c r="G204" s="100">
        <v>-19</v>
      </c>
      <c r="H204" s="100">
        <v>1</v>
      </c>
      <c r="I204" s="100">
        <v>-39</v>
      </c>
      <c r="K204" s="105">
        <v>45490</v>
      </c>
      <c r="L204" s="100">
        <v>24.761</v>
      </c>
      <c r="M204" s="106">
        <v>15.08</v>
      </c>
      <c r="N204" s="100">
        <v>64</v>
      </c>
      <c r="O204" s="100">
        <v>45</v>
      </c>
      <c r="P204" s="100">
        <v>66</v>
      </c>
      <c r="Q204" s="100">
        <v>25</v>
      </c>
      <c r="S204" s="105">
        <v>45490</v>
      </c>
      <c r="T204" s="106">
        <f t="shared" si="2"/>
        <v>-6.521</v>
      </c>
    </row>
    <row r="205" spans="3:20">
      <c r="C205" s="105">
        <v>45489</v>
      </c>
      <c r="D205" s="106">
        <v>8.713</v>
      </c>
      <c r="E205" s="100">
        <v>13.574</v>
      </c>
      <c r="F205" s="100">
        <v>-36</v>
      </c>
      <c r="G205" s="100">
        <v>-19</v>
      </c>
      <c r="H205" s="100">
        <v>1</v>
      </c>
      <c r="I205" s="100">
        <v>-39</v>
      </c>
      <c r="K205" s="105">
        <v>45489</v>
      </c>
      <c r="L205" s="100">
        <v>24.892</v>
      </c>
      <c r="M205" s="106">
        <v>15.19</v>
      </c>
      <c r="N205" s="100">
        <v>64</v>
      </c>
      <c r="O205" s="100">
        <v>45</v>
      </c>
      <c r="P205" s="100">
        <v>66</v>
      </c>
      <c r="Q205" s="100">
        <v>25</v>
      </c>
      <c r="S205" s="105">
        <v>45489</v>
      </c>
      <c r="T205" s="106">
        <f t="shared" si="2"/>
        <v>-6.477</v>
      </c>
    </row>
    <row r="206" spans="3:20">
      <c r="C206" s="105">
        <v>45488</v>
      </c>
      <c r="D206" s="106">
        <v>8.419</v>
      </c>
      <c r="E206" s="100">
        <v>13.63</v>
      </c>
      <c r="F206" s="100">
        <v>-38</v>
      </c>
      <c r="G206" s="100">
        <v>-19</v>
      </c>
      <c r="H206" s="100">
        <v>1</v>
      </c>
      <c r="I206" s="100">
        <v>-39</v>
      </c>
      <c r="K206" s="105">
        <v>45488</v>
      </c>
      <c r="L206" s="100">
        <v>24.993</v>
      </c>
      <c r="M206" s="106">
        <v>15.253</v>
      </c>
      <c r="N206" s="100">
        <v>64</v>
      </c>
      <c r="O206" s="100">
        <v>45</v>
      </c>
      <c r="P206" s="100">
        <v>66</v>
      </c>
      <c r="Q206" s="100">
        <v>25</v>
      </c>
      <c r="S206" s="105">
        <v>45488</v>
      </c>
      <c r="T206" s="106">
        <f t="shared" si="2"/>
        <v>-6.834</v>
      </c>
    </row>
    <row r="207" spans="3:20">
      <c r="C207" s="105">
        <v>45485</v>
      </c>
      <c r="D207" s="106">
        <v>8.506</v>
      </c>
      <c r="E207" s="100">
        <v>13.857</v>
      </c>
      <c r="F207" s="100">
        <v>-39</v>
      </c>
      <c r="G207" s="100">
        <v>-19</v>
      </c>
      <c r="H207" s="100">
        <v>1</v>
      </c>
      <c r="I207" s="100">
        <v>-39</v>
      </c>
      <c r="K207" s="105">
        <v>45485</v>
      </c>
      <c r="L207" s="100">
        <v>24.868</v>
      </c>
      <c r="M207" s="106">
        <v>15.43</v>
      </c>
      <c r="N207" s="100">
        <v>61</v>
      </c>
      <c r="O207" s="100">
        <v>45</v>
      </c>
      <c r="P207" s="100">
        <v>66</v>
      </c>
      <c r="Q207" s="100">
        <v>25</v>
      </c>
      <c r="S207" s="105">
        <v>45485</v>
      </c>
      <c r="T207" s="106">
        <f t="shared" si="2"/>
        <v>-6.924</v>
      </c>
    </row>
    <row r="208" spans="3:20">
      <c r="C208" s="105">
        <v>45484</v>
      </c>
      <c r="D208" s="106">
        <v>8.394</v>
      </c>
      <c r="E208" s="100">
        <v>13.546</v>
      </c>
      <c r="F208" s="100">
        <v>-38</v>
      </c>
      <c r="G208" s="100">
        <v>-19</v>
      </c>
      <c r="H208" s="100">
        <v>1</v>
      </c>
      <c r="I208" s="100">
        <v>-39</v>
      </c>
      <c r="K208" s="105">
        <v>45484</v>
      </c>
      <c r="L208" s="100">
        <v>24.721</v>
      </c>
      <c r="M208" s="106">
        <v>15.142</v>
      </c>
      <c r="N208" s="100">
        <v>63</v>
      </c>
      <c r="O208" s="100">
        <v>45</v>
      </c>
      <c r="P208" s="100">
        <v>66</v>
      </c>
      <c r="Q208" s="100">
        <v>25</v>
      </c>
      <c r="S208" s="105">
        <v>45484</v>
      </c>
      <c r="T208" s="106">
        <f t="shared" si="2"/>
        <v>-6.748</v>
      </c>
    </row>
    <row r="209" spans="3:20">
      <c r="C209" s="105">
        <v>45483</v>
      </c>
      <c r="D209" s="106">
        <v>8.196</v>
      </c>
      <c r="E209" s="100">
        <v>13.414</v>
      </c>
      <c r="F209" s="100">
        <v>-39</v>
      </c>
      <c r="G209" s="100">
        <v>-19</v>
      </c>
      <c r="H209" s="100">
        <v>1</v>
      </c>
      <c r="I209" s="100">
        <v>-39</v>
      </c>
      <c r="K209" s="105">
        <v>45483</v>
      </c>
      <c r="L209" s="100">
        <v>24.385</v>
      </c>
      <c r="M209" s="106">
        <v>14.981</v>
      </c>
      <c r="N209" s="100">
        <v>63</v>
      </c>
      <c r="O209" s="100">
        <v>45</v>
      </c>
      <c r="P209" s="100">
        <v>66</v>
      </c>
      <c r="Q209" s="100">
        <v>25</v>
      </c>
      <c r="S209" s="105">
        <v>45483</v>
      </c>
      <c r="T209" s="106">
        <f t="shared" si="2"/>
        <v>-6.785</v>
      </c>
    </row>
    <row r="210" spans="3:20">
      <c r="C210" s="105">
        <v>45482</v>
      </c>
      <c r="D210" s="106">
        <v>8.203</v>
      </c>
      <c r="E210" s="100">
        <v>13.297</v>
      </c>
      <c r="F210" s="100">
        <v>-38</v>
      </c>
      <c r="G210" s="100">
        <v>-19</v>
      </c>
      <c r="H210" s="100">
        <v>1</v>
      </c>
      <c r="I210" s="100">
        <v>-39</v>
      </c>
      <c r="K210" s="105">
        <v>45482</v>
      </c>
      <c r="L210" s="100">
        <v>24.399</v>
      </c>
      <c r="M210" s="106">
        <v>14.883</v>
      </c>
      <c r="N210" s="100">
        <v>64</v>
      </c>
      <c r="O210" s="100">
        <v>45</v>
      </c>
      <c r="P210" s="100">
        <v>66</v>
      </c>
      <c r="Q210" s="100">
        <v>25</v>
      </c>
      <c r="S210" s="105">
        <v>45482</v>
      </c>
      <c r="T210" s="106">
        <f t="shared" si="2"/>
        <v>-6.68</v>
      </c>
    </row>
    <row r="211" spans="3:20">
      <c r="C211" s="105">
        <v>45481</v>
      </c>
      <c r="D211" s="106">
        <v>8.365</v>
      </c>
      <c r="E211" s="100">
        <v>13.559</v>
      </c>
      <c r="F211" s="100">
        <v>-38</v>
      </c>
      <c r="G211" s="100">
        <v>-19</v>
      </c>
      <c r="H211" s="100">
        <v>1</v>
      </c>
      <c r="I211" s="100">
        <v>-39</v>
      </c>
      <c r="K211" s="105">
        <v>45481</v>
      </c>
      <c r="L211" s="100">
        <v>24.516</v>
      </c>
      <c r="M211" s="106">
        <v>15.124</v>
      </c>
      <c r="N211" s="100">
        <v>62</v>
      </c>
      <c r="O211" s="100">
        <v>45</v>
      </c>
      <c r="P211" s="100">
        <v>66</v>
      </c>
      <c r="Q211" s="100">
        <v>25</v>
      </c>
      <c r="S211" s="105">
        <v>45481</v>
      </c>
      <c r="T211" s="106">
        <f t="shared" si="2"/>
        <v>-6.759</v>
      </c>
    </row>
    <row r="212" spans="3:20">
      <c r="C212" s="105">
        <v>45478</v>
      </c>
      <c r="D212" s="106">
        <v>8.456</v>
      </c>
      <c r="E212" s="100">
        <v>13.537</v>
      </c>
      <c r="F212" s="100">
        <v>-38</v>
      </c>
      <c r="G212" s="100">
        <v>-19</v>
      </c>
      <c r="H212" s="100">
        <v>1</v>
      </c>
      <c r="I212" s="100">
        <v>-39</v>
      </c>
      <c r="K212" s="105">
        <v>45478</v>
      </c>
      <c r="L212" s="100">
        <v>24.589</v>
      </c>
      <c r="M212" s="106">
        <v>15.116</v>
      </c>
      <c r="N212" s="100">
        <v>63</v>
      </c>
      <c r="O212" s="100">
        <v>45</v>
      </c>
      <c r="P212" s="100">
        <v>66</v>
      </c>
      <c r="Q212" s="100">
        <v>25</v>
      </c>
      <c r="S212" s="105">
        <v>45478</v>
      </c>
      <c r="T212" s="106">
        <f t="shared" si="2"/>
        <v>-6.66</v>
      </c>
    </row>
    <row r="213" spans="3:20">
      <c r="C213" s="105">
        <v>45477</v>
      </c>
      <c r="D213" s="106">
        <v>8.361</v>
      </c>
      <c r="E213" s="100">
        <v>13.513</v>
      </c>
      <c r="F213" s="100">
        <v>-38</v>
      </c>
      <c r="G213" s="100">
        <v>-19</v>
      </c>
      <c r="H213" s="100">
        <v>1</v>
      </c>
      <c r="I213" s="100">
        <v>-39</v>
      </c>
      <c r="K213" s="105">
        <v>45477</v>
      </c>
      <c r="L213" s="100">
        <v>24.575</v>
      </c>
      <c r="M213" s="106">
        <v>15.093</v>
      </c>
      <c r="N213" s="100">
        <v>63</v>
      </c>
      <c r="O213" s="100">
        <v>45</v>
      </c>
      <c r="P213" s="100">
        <v>66</v>
      </c>
      <c r="Q213" s="100">
        <v>25</v>
      </c>
      <c r="S213" s="105">
        <v>45477</v>
      </c>
      <c r="T213" s="106">
        <f t="shared" si="2"/>
        <v>-6.732</v>
      </c>
    </row>
    <row r="214" spans="3:20">
      <c r="C214" s="105">
        <v>45476</v>
      </c>
      <c r="D214" s="106">
        <v>8.409</v>
      </c>
      <c r="E214" s="100">
        <v>13.635</v>
      </c>
      <c r="F214" s="100">
        <v>-38</v>
      </c>
      <c r="G214" s="100">
        <v>-19</v>
      </c>
      <c r="H214" s="100">
        <v>1</v>
      </c>
      <c r="I214" s="100">
        <v>-39</v>
      </c>
      <c r="K214" s="105">
        <v>45476</v>
      </c>
      <c r="L214" s="100">
        <v>24.487</v>
      </c>
      <c r="M214" s="106">
        <v>15.186</v>
      </c>
      <c r="N214" s="100">
        <v>61</v>
      </c>
      <c r="O214" s="100">
        <v>45</v>
      </c>
      <c r="P214" s="100">
        <v>66</v>
      </c>
      <c r="Q214" s="100">
        <v>25</v>
      </c>
      <c r="S214" s="105">
        <v>45476</v>
      </c>
      <c r="T214" s="106">
        <f t="shared" ref="T214:T277" si="3">D214-M214</f>
        <v>-6.777</v>
      </c>
    </row>
    <row r="215" spans="3:20">
      <c r="C215" s="105">
        <v>45475</v>
      </c>
      <c r="D215" s="106">
        <v>8.763</v>
      </c>
      <c r="E215" s="100">
        <v>13.536</v>
      </c>
      <c r="F215" s="100">
        <v>-35</v>
      </c>
      <c r="G215" s="100">
        <v>-19</v>
      </c>
      <c r="H215" s="100">
        <v>1</v>
      </c>
      <c r="I215" s="100">
        <v>-39</v>
      </c>
      <c r="K215" s="105">
        <v>45475</v>
      </c>
      <c r="L215" s="100">
        <v>24.443</v>
      </c>
      <c r="M215" s="106">
        <v>15.094</v>
      </c>
      <c r="N215" s="100">
        <v>62</v>
      </c>
      <c r="O215" s="100">
        <v>45</v>
      </c>
      <c r="P215" s="100">
        <v>66</v>
      </c>
      <c r="Q215" s="100">
        <v>25</v>
      </c>
      <c r="S215" s="105">
        <v>45475</v>
      </c>
      <c r="T215" s="106">
        <f t="shared" si="3"/>
        <v>-6.331</v>
      </c>
    </row>
    <row r="216" spans="3:20">
      <c r="C216" s="105">
        <v>45474</v>
      </c>
      <c r="D216" s="106">
        <v>8.897</v>
      </c>
      <c r="E216" s="100">
        <v>13.713</v>
      </c>
      <c r="F216" s="100">
        <v>-35</v>
      </c>
      <c r="G216" s="100">
        <v>-19</v>
      </c>
      <c r="H216" s="100">
        <v>1</v>
      </c>
      <c r="I216" s="100">
        <v>-39</v>
      </c>
      <c r="K216" s="105">
        <v>45474</v>
      </c>
      <c r="L216" s="100">
        <v>24.606</v>
      </c>
      <c r="M216" s="106">
        <v>15.269</v>
      </c>
      <c r="N216" s="100">
        <v>61</v>
      </c>
      <c r="O216" s="100">
        <v>45</v>
      </c>
      <c r="P216" s="100">
        <v>66</v>
      </c>
      <c r="Q216" s="100">
        <v>25</v>
      </c>
      <c r="S216" s="105">
        <v>45474</v>
      </c>
      <c r="T216" s="106">
        <f t="shared" si="3"/>
        <v>-6.372</v>
      </c>
    </row>
    <row r="217" spans="3:20">
      <c r="C217" s="105">
        <v>45471</v>
      </c>
      <c r="D217" s="106">
        <v>8.808</v>
      </c>
      <c r="E217" s="100">
        <v>13.712</v>
      </c>
      <c r="F217" s="100">
        <v>-36</v>
      </c>
      <c r="G217" s="100">
        <v>-19</v>
      </c>
      <c r="H217" s="100">
        <v>1</v>
      </c>
      <c r="I217" s="100">
        <v>-39</v>
      </c>
      <c r="K217" s="105">
        <v>45471</v>
      </c>
      <c r="L217" s="100">
        <v>24.871</v>
      </c>
      <c r="M217" s="106">
        <v>15.306</v>
      </c>
      <c r="N217" s="100">
        <v>62</v>
      </c>
      <c r="O217" s="100">
        <v>45</v>
      </c>
      <c r="P217" s="100">
        <v>66</v>
      </c>
      <c r="Q217" s="100">
        <v>25</v>
      </c>
      <c r="S217" s="105">
        <v>45471</v>
      </c>
      <c r="T217" s="106">
        <f t="shared" si="3"/>
        <v>-6.498</v>
      </c>
    </row>
    <row r="218" spans="3:20">
      <c r="C218" s="105">
        <v>45470</v>
      </c>
      <c r="D218" s="106">
        <v>9.343</v>
      </c>
      <c r="E218" s="100">
        <v>13.869</v>
      </c>
      <c r="F218" s="100">
        <v>-33</v>
      </c>
      <c r="G218" s="100">
        <v>-19</v>
      </c>
      <c r="H218" s="100">
        <v>1</v>
      </c>
      <c r="I218" s="100">
        <v>-39</v>
      </c>
      <c r="K218" s="105">
        <v>45470</v>
      </c>
      <c r="L218" s="100">
        <v>25.115</v>
      </c>
      <c r="M218" s="106">
        <v>15.476</v>
      </c>
      <c r="N218" s="100">
        <v>62</v>
      </c>
      <c r="O218" s="100">
        <v>45</v>
      </c>
      <c r="P218" s="100">
        <v>66</v>
      </c>
      <c r="Q218" s="100">
        <v>25</v>
      </c>
      <c r="S218" s="105">
        <v>45470</v>
      </c>
      <c r="T218" s="106">
        <f t="shared" si="3"/>
        <v>-6.133</v>
      </c>
    </row>
    <row r="219" spans="3:20">
      <c r="C219" s="105">
        <v>45469</v>
      </c>
      <c r="D219" s="106">
        <v>9.299</v>
      </c>
      <c r="E219" s="100">
        <v>14.281</v>
      </c>
      <c r="F219" s="100">
        <v>-35</v>
      </c>
      <c r="G219" s="100">
        <v>-19</v>
      </c>
      <c r="H219" s="100">
        <v>1</v>
      </c>
      <c r="I219" s="100">
        <v>-39</v>
      </c>
      <c r="K219" s="105">
        <v>45469</v>
      </c>
      <c r="L219" s="100">
        <v>25.206</v>
      </c>
      <c r="M219" s="106">
        <v>15.842</v>
      </c>
      <c r="N219" s="100">
        <v>59</v>
      </c>
      <c r="O219" s="100">
        <v>45</v>
      </c>
      <c r="P219" s="100">
        <v>66</v>
      </c>
      <c r="Q219" s="100">
        <v>25</v>
      </c>
      <c r="S219" s="105">
        <v>45469</v>
      </c>
      <c r="T219" s="106">
        <f t="shared" si="3"/>
        <v>-6.543</v>
      </c>
    </row>
    <row r="220" spans="3:20">
      <c r="C220" s="105">
        <v>45468</v>
      </c>
      <c r="D220" s="106">
        <v>9.404</v>
      </c>
      <c r="E220" s="100">
        <v>14.356</v>
      </c>
      <c r="F220" s="100">
        <v>-34</v>
      </c>
      <c r="G220" s="100">
        <v>-19</v>
      </c>
      <c r="H220" s="100">
        <v>1</v>
      </c>
      <c r="I220" s="100">
        <v>-39</v>
      </c>
      <c r="K220" s="105">
        <v>45468</v>
      </c>
      <c r="L220" s="100">
        <v>25.424</v>
      </c>
      <c r="M220" s="106">
        <v>15.937</v>
      </c>
      <c r="N220" s="100">
        <v>60</v>
      </c>
      <c r="O220" s="100">
        <v>45</v>
      </c>
      <c r="P220" s="100">
        <v>66</v>
      </c>
      <c r="Q220" s="100">
        <v>25</v>
      </c>
      <c r="S220" s="105">
        <v>45468</v>
      </c>
      <c r="T220" s="106">
        <f t="shared" si="3"/>
        <v>-6.533</v>
      </c>
    </row>
    <row r="221" spans="3:20">
      <c r="C221" s="105">
        <v>45467</v>
      </c>
      <c r="D221" s="106">
        <v>9.623</v>
      </c>
      <c r="E221" s="100">
        <v>14.495</v>
      </c>
      <c r="F221" s="100">
        <v>-34</v>
      </c>
      <c r="G221" s="100">
        <v>-19</v>
      </c>
      <c r="H221" s="100">
        <v>1</v>
      </c>
      <c r="I221" s="100">
        <v>-39</v>
      </c>
      <c r="K221" s="105">
        <v>45467</v>
      </c>
      <c r="L221" s="100">
        <v>25.51</v>
      </c>
      <c r="M221" s="106">
        <v>16.068</v>
      </c>
      <c r="N221" s="100">
        <v>59</v>
      </c>
      <c r="O221" s="100">
        <v>45</v>
      </c>
      <c r="P221" s="100">
        <v>66</v>
      </c>
      <c r="Q221" s="100">
        <v>25</v>
      </c>
      <c r="S221" s="105">
        <v>45467</v>
      </c>
      <c r="T221" s="106">
        <f t="shared" si="3"/>
        <v>-6.445</v>
      </c>
    </row>
    <row r="222" spans="3:20">
      <c r="C222" s="105">
        <v>45464</v>
      </c>
      <c r="D222" s="106">
        <v>9.346</v>
      </c>
      <c r="E222" s="100">
        <v>14.322</v>
      </c>
      <c r="F222" s="100">
        <v>-35</v>
      </c>
      <c r="G222" s="100">
        <v>-19</v>
      </c>
      <c r="H222" s="100">
        <v>1</v>
      </c>
      <c r="I222" s="100">
        <v>-39</v>
      </c>
      <c r="K222" s="105">
        <v>45464</v>
      </c>
      <c r="L222" s="100">
        <v>25.602</v>
      </c>
      <c r="M222" s="106">
        <v>15.934</v>
      </c>
      <c r="N222" s="100">
        <v>61</v>
      </c>
      <c r="O222" s="100">
        <v>45</v>
      </c>
      <c r="P222" s="100">
        <v>66</v>
      </c>
      <c r="Q222" s="100">
        <v>25</v>
      </c>
      <c r="S222" s="105">
        <v>45464</v>
      </c>
      <c r="T222" s="106">
        <f t="shared" si="3"/>
        <v>-6.588</v>
      </c>
    </row>
    <row r="223" spans="3:20">
      <c r="C223" s="105">
        <v>45463</v>
      </c>
      <c r="D223" s="106">
        <v>9.333</v>
      </c>
      <c r="E223" s="100">
        <v>14.417</v>
      </c>
      <c r="F223" s="100">
        <v>-35</v>
      </c>
      <c r="G223" s="100">
        <v>-19</v>
      </c>
      <c r="H223" s="100">
        <v>1</v>
      </c>
      <c r="I223" s="100">
        <v>-39</v>
      </c>
      <c r="K223" s="105">
        <v>45463</v>
      </c>
      <c r="L223" s="100">
        <v>25.475</v>
      </c>
      <c r="M223" s="106">
        <v>15.997</v>
      </c>
      <c r="N223" s="100">
        <v>59</v>
      </c>
      <c r="O223" s="100">
        <v>45</v>
      </c>
      <c r="P223" s="100">
        <v>66</v>
      </c>
      <c r="Q223" s="100">
        <v>25</v>
      </c>
      <c r="S223" s="105">
        <v>45463</v>
      </c>
      <c r="T223" s="106">
        <f t="shared" si="3"/>
        <v>-6.664</v>
      </c>
    </row>
    <row r="224" spans="3:20">
      <c r="C224" s="105">
        <v>45462</v>
      </c>
      <c r="D224" s="106">
        <v>8.885</v>
      </c>
      <c r="E224" s="100">
        <v>14.19</v>
      </c>
      <c r="F224" s="100">
        <v>-37</v>
      </c>
      <c r="G224" s="100">
        <v>-19</v>
      </c>
      <c r="H224" s="100">
        <v>1</v>
      </c>
      <c r="I224" s="100">
        <v>-39</v>
      </c>
      <c r="K224" s="105">
        <v>45462</v>
      </c>
      <c r="L224" s="100">
        <v>25.306</v>
      </c>
      <c r="M224" s="106">
        <v>15.778</v>
      </c>
      <c r="N224" s="100">
        <v>60</v>
      </c>
      <c r="O224" s="100">
        <v>45</v>
      </c>
      <c r="P224" s="100">
        <v>66</v>
      </c>
      <c r="Q224" s="100">
        <v>25</v>
      </c>
      <c r="S224" s="105">
        <v>45462</v>
      </c>
      <c r="T224" s="106">
        <f t="shared" si="3"/>
        <v>-6.893</v>
      </c>
    </row>
    <row r="225" spans="3:20">
      <c r="C225" s="105">
        <v>45461</v>
      </c>
      <c r="D225" s="106">
        <v>8.745</v>
      </c>
      <c r="E225" s="100">
        <v>14.205</v>
      </c>
      <c r="F225" s="100">
        <v>-38</v>
      </c>
      <c r="G225" s="100">
        <v>-19</v>
      </c>
      <c r="H225" s="100">
        <v>1</v>
      </c>
      <c r="I225" s="100">
        <v>-39</v>
      </c>
      <c r="K225" s="105">
        <v>45461</v>
      </c>
      <c r="L225" s="100">
        <v>25.19</v>
      </c>
      <c r="M225" s="106">
        <v>15.774</v>
      </c>
      <c r="N225" s="100">
        <v>60</v>
      </c>
      <c r="O225" s="100">
        <v>45</v>
      </c>
      <c r="P225" s="100">
        <v>66</v>
      </c>
      <c r="Q225" s="100">
        <v>25</v>
      </c>
      <c r="S225" s="105">
        <v>45461</v>
      </c>
      <c r="T225" s="106">
        <f t="shared" si="3"/>
        <v>-7.029</v>
      </c>
    </row>
    <row r="226" spans="3:20">
      <c r="C226" s="105">
        <v>45460</v>
      </c>
      <c r="D226" s="106">
        <v>8.946</v>
      </c>
      <c r="E226" s="100">
        <v>14.126</v>
      </c>
      <c r="F226" s="100">
        <v>-37</v>
      </c>
      <c r="G226" s="100">
        <v>-19</v>
      </c>
      <c r="H226" s="100">
        <v>1</v>
      </c>
      <c r="I226" s="100">
        <v>-39</v>
      </c>
      <c r="K226" s="105">
        <v>45460</v>
      </c>
      <c r="L226" s="100">
        <v>25.058</v>
      </c>
      <c r="M226" s="106">
        <v>15.688</v>
      </c>
      <c r="N226" s="100">
        <v>60</v>
      </c>
      <c r="O226" s="100">
        <v>45</v>
      </c>
      <c r="P226" s="100">
        <v>66</v>
      </c>
      <c r="Q226" s="100">
        <v>25</v>
      </c>
      <c r="S226" s="105">
        <v>45460</v>
      </c>
      <c r="T226" s="106">
        <f t="shared" si="3"/>
        <v>-6.742</v>
      </c>
    </row>
    <row r="227" spans="3:20">
      <c r="C227" s="105">
        <v>45457</v>
      </c>
      <c r="D227" s="106">
        <v>8.973</v>
      </c>
      <c r="E227" s="100">
        <v>14.069</v>
      </c>
      <c r="F227" s="100">
        <v>-36</v>
      </c>
      <c r="G227" s="100">
        <v>-19</v>
      </c>
      <c r="H227" s="100">
        <v>1</v>
      </c>
      <c r="I227" s="100">
        <v>-39</v>
      </c>
      <c r="K227" s="105">
        <v>45457</v>
      </c>
      <c r="L227" s="100">
        <v>25.076</v>
      </c>
      <c r="M227" s="106">
        <v>15.642</v>
      </c>
      <c r="N227" s="100">
        <v>60</v>
      </c>
      <c r="O227" s="100">
        <v>45</v>
      </c>
      <c r="P227" s="100">
        <v>66</v>
      </c>
      <c r="Q227" s="100">
        <v>25</v>
      </c>
      <c r="S227" s="105">
        <v>45457</v>
      </c>
      <c r="T227" s="106">
        <f t="shared" si="3"/>
        <v>-6.669</v>
      </c>
    </row>
    <row r="228" spans="3:20">
      <c r="C228" s="105">
        <v>45456</v>
      </c>
      <c r="D228" s="106">
        <v>9.071</v>
      </c>
      <c r="E228" s="100">
        <v>14.097</v>
      </c>
      <c r="F228" s="100">
        <v>-36</v>
      </c>
      <c r="G228" s="100">
        <v>-19</v>
      </c>
      <c r="H228" s="100">
        <v>1</v>
      </c>
      <c r="I228" s="100">
        <v>-39</v>
      </c>
      <c r="K228" s="105">
        <v>45456</v>
      </c>
      <c r="L228" s="100">
        <v>24.89</v>
      </c>
      <c r="M228" s="106">
        <v>15.639</v>
      </c>
      <c r="N228" s="100">
        <v>59</v>
      </c>
      <c r="O228" s="100">
        <v>45</v>
      </c>
      <c r="P228" s="100">
        <v>66</v>
      </c>
      <c r="Q228" s="100">
        <v>25</v>
      </c>
      <c r="S228" s="105">
        <v>45456</v>
      </c>
      <c r="T228" s="106">
        <f t="shared" si="3"/>
        <v>-6.568</v>
      </c>
    </row>
    <row r="229" spans="3:20">
      <c r="C229" s="105">
        <v>45455</v>
      </c>
      <c r="D229" s="106">
        <v>9.25</v>
      </c>
      <c r="E229" s="100">
        <v>14.32</v>
      </c>
      <c r="F229" s="100">
        <v>-35</v>
      </c>
      <c r="G229" s="100">
        <v>-19</v>
      </c>
      <c r="H229" s="100">
        <v>1</v>
      </c>
      <c r="I229" s="100">
        <v>-39</v>
      </c>
      <c r="K229" s="105">
        <v>45455</v>
      </c>
      <c r="L229" s="100">
        <v>25.013</v>
      </c>
      <c r="M229" s="106">
        <v>15.848</v>
      </c>
      <c r="N229" s="100">
        <v>58</v>
      </c>
      <c r="O229" s="100">
        <v>45</v>
      </c>
      <c r="P229" s="100">
        <v>66</v>
      </c>
      <c r="Q229" s="100">
        <v>25</v>
      </c>
      <c r="S229" s="105">
        <v>45455</v>
      </c>
      <c r="T229" s="106">
        <f t="shared" si="3"/>
        <v>-6.598</v>
      </c>
    </row>
    <row r="230" spans="3:20">
      <c r="C230" s="105">
        <v>45454</v>
      </c>
      <c r="D230" s="106">
        <v>9.195</v>
      </c>
      <c r="E230" s="100">
        <v>14.144</v>
      </c>
      <c r="F230" s="100">
        <v>-35</v>
      </c>
      <c r="G230" s="100">
        <v>-19</v>
      </c>
      <c r="H230" s="100">
        <v>1</v>
      </c>
      <c r="I230" s="100">
        <v>-39</v>
      </c>
      <c r="K230" s="105">
        <v>45454</v>
      </c>
      <c r="L230" s="100">
        <v>24.86</v>
      </c>
      <c r="M230" s="106">
        <v>15.675</v>
      </c>
      <c r="N230" s="100">
        <v>59</v>
      </c>
      <c r="O230" s="100">
        <v>45</v>
      </c>
      <c r="P230" s="100">
        <v>66</v>
      </c>
      <c r="Q230" s="100">
        <v>25</v>
      </c>
      <c r="S230" s="105">
        <v>45454</v>
      </c>
      <c r="T230" s="106">
        <f t="shared" si="3"/>
        <v>-6.48</v>
      </c>
    </row>
    <row r="231" spans="3:20">
      <c r="C231" s="105">
        <v>45453</v>
      </c>
      <c r="D231" s="106">
        <v>9.236</v>
      </c>
      <c r="E231" s="100">
        <v>14.294</v>
      </c>
      <c r="F231" s="100">
        <v>-35</v>
      </c>
      <c r="G231" s="100">
        <v>-19</v>
      </c>
      <c r="H231" s="100">
        <v>1</v>
      </c>
      <c r="I231" s="100">
        <v>-39</v>
      </c>
      <c r="K231" s="105">
        <v>45453</v>
      </c>
      <c r="L231" s="100">
        <v>25.026</v>
      </c>
      <c r="M231" s="106">
        <v>15.827</v>
      </c>
      <c r="N231" s="100">
        <v>58</v>
      </c>
      <c r="O231" s="100">
        <v>45</v>
      </c>
      <c r="P231" s="100">
        <v>66</v>
      </c>
      <c r="Q231" s="100">
        <v>25</v>
      </c>
      <c r="S231" s="105">
        <v>45453</v>
      </c>
      <c r="T231" s="106">
        <f t="shared" si="3"/>
        <v>-6.591</v>
      </c>
    </row>
    <row r="232" spans="3:20">
      <c r="C232" s="105">
        <v>45450</v>
      </c>
      <c r="D232" s="106">
        <v>9.326</v>
      </c>
      <c r="E232" s="100">
        <v>14.393</v>
      </c>
      <c r="F232" s="100">
        <v>-35</v>
      </c>
      <c r="G232" s="100">
        <v>-19</v>
      </c>
      <c r="H232" s="100">
        <v>1</v>
      </c>
      <c r="I232" s="100">
        <v>-39</v>
      </c>
      <c r="K232" s="105">
        <v>45450</v>
      </c>
      <c r="L232" s="100">
        <v>25.129</v>
      </c>
      <c r="M232" s="106">
        <v>15.927</v>
      </c>
      <c r="N232" s="100">
        <v>58</v>
      </c>
      <c r="O232" s="100">
        <v>45</v>
      </c>
      <c r="P232" s="100">
        <v>66</v>
      </c>
      <c r="Q232" s="100">
        <v>25</v>
      </c>
      <c r="S232" s="105">
        <v>45450</v>
      </c>
      <c r="T232" s="106">
        <f t="shared" si="3"/>
        <v>-6.601</v>
      </c>
    </row>
    <row r="233" spans="3:20">
      <c r="C233" s="105">
        <v>45449</v>
      </c>
      <c r="D233" s="106">
        <v>9.524</v>
      </c>
      <c r="E233" s="100">
        <v>14.428</v>
      </c>
      <c r="F233" s="100">
        <v>-34</v>
      </c>
      <c r="G233" s="100">
        <v>-19</v>
      </c>
      <c r="H233" s="100">
        <v>1</v>
      </c>
      <c r="I233" s="100">
        <v>-39</v>
      </c>
      <c r="K233" s="105">
        <v>45449</v>
      </c>
      <c r="L233" s="100">
        <v>25.118</v>
      </c>
      <c r="M233" s="106">
        <v>15.955</v>
      </c>
      <c r="N233" s="100">
        <v>57</v>
      </c>
      <c r="O233" s="100">
        <v>45</v>
      </c>
      <c r="P233" s="100">
        <v>66</v>
      </c>
      <c r="Q233" s="100">
        <v>25</v>
      </c>
      <c r="S233" s="105">
        <v>45449</v>
      </c>
      <c r="T233" s="106">
        <f t="shared" si="3"/>
        <v>-6.431</v>
      </c>
    </row>
    <row r="234" spans="3:20">
      <c r="C234" s="105">
        <v>45448</v>
      </c>
      <c r="D234" s="106">
        <v>9.392</v>
      </c>
      <c r="E234" s="100">
        <v>14.398</v>
      </c>
      <c r="F234" s="100">
        <v>-35</v>
      </c>
      <c r="G234" s="100">
        <v>-19</v>
      </c>
      <c r="H234" s="100">
        <v>1</v>
      </c>
      <c r="I234" s="100">
        <v>-39</v>
      </c>
      <c r="K234" s="105">
        <v>45448</v>
      </c>
      <c r="L234" s="100">
        <v>24.847</v>
      </c>
      <c r="M234" s="106">
        <v>15.89</v>
      </c>
      <c r="N234" s="100">
        <v>56</v>
      </c>
      <c r="O234" s="100">
        <v>45</v>
      </c>
      <c r="P234" s="100">
        <v>66</v>
      </c>
      <c r="Q234" s="100">
        <v>25</v>
      </c>
      <c r="S234" s="105">
        <v>45448</v>
      </c>
      <c r="T234" s="106">
        <f t="shared" si="3"/>
        <v>-6.498</v>
      </c>
    </row>
    <row r="235" spans="3:20">
      <c r="C235" s="105">
        <v>45447</v>
      </c>
      <c r="D235" s="106">
        <v>9.847</v>
      </c>
      <c r="E235" s="100">
        <v>14.439</v>
      </c>
      <c r="F235" s="100">
        <v>-32</v>
      </c>
      <c r="G235" s="100">
        <v>-19</v>
      </c>
      <c r="H235" s="100">
        <v>1</v>
      </c>
      <c r="I235" s="100">
        <v>-39</v>
      </c>
      <c r="K235" s="105">
        <v>45447</v>
      </c>
      <c r="L235" s="100">
        <v>25.612</v>
      </c>
      <c r="M235" s="106">
        <v>16.035</v>
      </c>
      <c r="N235" s="100">
        <v>60</v>
      </c>
      <c r="O235" s="100">
        <v>45</v>
      </c>
      <c r="P235" s="100">
        <v>66</v>
      </c>
      <c r="Q235" s="100">
        <v>25</v>
      </c>
      <c r="S235" s="105">
        <v>45447</v>
      </c>
      <c r="T235" s="106">
        <f t="shared" si="3"/>
        <v>-6.188</v>
      </c>
    </row>
    <row r="236" spans="3:20">
      <c r="C236" s="105">
        <v>45446</v>
      </c>
      <c r="D236" s="106">
        <v>9.971</v>
      </c>
      <c r="E236" s="100">
        <v>14.469</v>
      </c>
      <c r="F236" s="100">
        <v>-31</v>
      </c>
      <c r="G236" s="100">
        <v>-19</v>
      </c>
      <c r="H236" s="100">
        <v>1</v>
      </c>
      <c r="I236" s="100">
        <v>-39</v>
      </c>
      <c r="K236" s="105">
        <v>45446</v>
      </c>
      <c r="L236" s="100">
        <v>24.171</v>
      </c>
      <c r="M236" s="106">
        <v>15.855</v>
      </c>
      <c r="N236" s="100">
        <v>52</v>
      </c>
      <c r="O236" s="100">
        <v>45</v>
      </c>
      <c r="P236" s="100">
        <v>66</v>
      </c>
      <c r="Q236" s="100">
        <v>25</v>
      </c>
      <c r="S236" s="105">
        <v>45446</v>
      </c>
      <c r="T236" s="106">
        <f t="shared" si="3"/>
        <v>-5.884</v>
      </c>
    </row>
    <row r="237" spans="3:20">
      <c r="C237" s="105">
        <v>45443</v>
      </c>
      <c r="D237" s="106">
        <v>9.571</v>
      </c>
      <c r="E237" s="100">
        <v>14.411</v>
      </c>
      <c r="F237" s="100">
        <v>-34</v>
      </c>
      <c r="G237" s="100">
        <v>-19</v>
      </c>
      <c r="H237" s="100">
        <v>1</v>
      </c>
      <c r="I237" s="100">
        <v>-39</v>
      </c>
      <c r="K237" s="105">
        <v>45443</v>
      </c>
      <c r="L237" s="100">
        <v>24.22</v>
      </c>
      <c r="M237" s="106">
        <v>15.812</v>
      </c>
      <c r="N237" s="100">
        <v>53</v>
      </c>
      <c r="O237" s="100">
        <v>45</v>
      </c>
      <c r="P237" s="100">
        <v>66</v>
      </c>
      <c r="Q237" s="100">
        <v>25</v>
      </c>
      <c r="S237" s="105">
        <v>45443</v>
      </c>
      <c r="T237" s="106">
        <f t="shared" si="3"/>
        <v>-6.241</v>
      </c>
    </row>
    <row r="238" spans="3:20">
      <c r="C238" s="105">
        <v>45442</v>
      </c>
      <c r="D238" s="106">
        <v>9.995</v>
      </c>
      <c r="E238" s="100">
        <v>14.5</v>
      </c>
      <c r="F238" s="100">
        <v>-31</v>
      </c>
      <c r="G238" s="100">
        <v>-19</v>
      </c>
      <c r="H238" s="100">
        <v>1</v>
      </c>
      <c r="I238" s="100">
        <v>-39</v>
      </c>
      <c r="K238" s="105">
        <v>45442</v>
      </c>
      <c r="L238" s="100">
        <v>24.05</v>
      </c>
      <c r="M238" s="106">
        <v>15.865</v>
      </c>
      <c r="N238" s="100">
        <v>52</v>
      </c>
      <c r="O238" s="100">
        <v>45</v>
      </c>
      <c r="P238" s="100">
        <v>66</v>
      </c>
      <c r="Q238" s="100">
        <v>25</v>
      </c>
      <c r="S238" s="105">
        <v>45442</v>
      </c>
      <c r="T238" s="106">
        <f t="shared" si="3"/>
        <v>-5.87</v>
      </c>
    </row>
    <row r="239" spans="3:20">
      <c r="C239" s="105">
        <v>45441</v>
      </c>
      <c r="D239" s="106">
        <v>9.47</v>
      </c>
      <c r="E239" s="100">
        <v>14.199</v>
      </c>
      <c r="F239" s="100">
        <v>-33</v>
      </c>
      <c r="G239" s="100">
        <v>-19</v>
      </c>
      <c r="H239" s="100">
        <v>1</v>
      </c>
      <c r="I239" s="100">
        <v>-39</v>
      </c>
      <c r="K239" s="105">
        <v>45441</v>
      </c>
      <c r="L239" s="100">
        <v>23.909</v>
      </c>
      <c r="M239" s="106">
        <v>15.586</v>
      </c>
      <c r="N239" s="100">
        <v>53</v>
      </c>
      <c r="O239" s="100">
        <v>45</v>
      </c>
      <c r="P239" s="100">
        <v>66</v>
      </c>
      <c r="Q239" s="100">
        <v>25</v>
      </c>
      <c r="S239" s="105">
        <v>45441</v>
      </c>
      <c r="T239" s="106">
        <f t="shared" si="3"/>
        <v>-6.116</v>
      </c>
    </row>
    <row r="240" spans="3:20">
      <c r="C240" s="105">
        <v>45440</v>
      </c>
      <c r="D240" s="106">
        <v>9.576</v>
      </c>
      <c r="E240" s="100">
        <v>14.307</v>
      </c>
      <c r="F240" s="100">
        <v>-33</v>
      </c>
      <c r="G240" s="100">
        <v>-19</v>
      </c>
      <c r="H240" s="100">
        <v>1</v>
      </c>
      <c r="I240" s="100">
        <v>-39</v>
      </c>
      <c r="K240" s="105">
        <v>45440</v>
      </c>
      <c r="L240" s="100">
        <v>24.251</v>
      </c>
      <c r="M240" s="106">
        <v>15.728</v>
      </c>
      <c r="N240" s="100">
        <v>54</v>
      </c>
      <c r="O240" s="100">
        <v>45</v>
      </c>
      <c r="P240" s="100">
        <v>66</v>
      </c>
      <c r="Q240" s="100">
        <v>25</v>
      </c>
      <c r="S240" s="105">
        <v>45440</v>
      </c>
      <c r="T240" s="106">
        <f t="shared" si="3"/>
        <v>-6.152</v>
      </c>
    </row>
    <row r="241" spans="3:20">
      <c r="C241" s="105">
        <v>45436</v>
      </c>
      <c r="D241" s="106">
        <v>9.095</v>
      </c>
      <c r="E241" s="100">
        <v>14.326</v>
      </c>
      <c r="F241" s="100">
        <v>-37</v>
      </c>
      <c r="G241" s="100">
        <v>-19</v>
      </c>
      <c r="H241" s="100">
        <v>1</v>
      </c>
      <c r="I241" s="100">
        <v>-39</v>
      </c>
      <c r="K241" s="105">
        <v>45436</v>
      </c>
      <c r="L241" s="100">
        <v>24.678</v>
      </c>
      <c r="M241" s="106">
        <v>15.805</v>
      </c>
      <c r="N241" s="100">
        <v>56</v>
      </c>
      <c r="O241" s="100">
        <v>45</v>
      </c>
      <c r="P241" s="100">
        <v>66</v>
      </c>
      <c r="Q241" s="100">
        <v>25</v>
      </c>
      <c r="S241" s="105">
        <v>45436</v>
      </c>
      <c r="T241" s="106">
        <f t="shared" si="3"/>
        <v>-6.71</v>
      </c>
    </row>
    <row r="242" spans="3:20">
      <c r="C242" s="105">
        <v>45435</v>
      </c>
      <c r="D242" s="106">
        <v>9.1</v>
      </c>
      <c r="E242" s="100">
        <v>14.312</v>
      </c>
      <c r="F242" s="100">
        <v>-36</v>
      </c>
      <c r="G242" s="100">
        <v>-19</v>
      </c>
      <c r="H242" s="100">
        <v>1</v>
      </c>
      <c r="I242" s="100">
        <v>-39</v>
      </c>
      <c r="K242" s="105">
        <v>45435</v>
      </c>
      <c r="L242" s="100">
        <v>24.7</v>
      </c>
      <c r="M242" s="106">
        <v>15.796</v>
      </c>
      <c r="N242" s="100">
        <v>56</v>
      </c>
      <c r="O242" s="100">
        <v>45</v>
      </c>
      <c r="P242" s="100">
        <v>66</v>
      </c>
      <c r="Q242" s="100">
        <v>25</v>
      </c>
      <c r="S242" s="105">
        <v>45435</v>
      </c>
      <c r="T242" s="106">
        <f t="shared" si="3"/>
        <v>-6.696</v>
      </c>
    </row>
    <row r="243" spans="3:20">
      <c r="C243" s="105">
        <v>45434</v>
      </c>
      <c r="D243" s="106">
        <v>9.107</v>
      </c>
      <c r="E243" s="100">
        <v>14.305</v>
      </c>
      <c r="F243" s="100">
        <v>-36</v>
      </c>
      <c r="G243" s="100">
        <v>-19</v>
      </c>
      <c r="H243" s="100">
        <v>1</v>
      </c>
      <c r="I243" s="100">
        <v>-39</v>
      </c>
      <c r="K243" s="105">
        <v>45434</v>
      </c>
      <c r="L243" s="100">
        <v>24.611</v>
      </c>
      <c r="M243" s="106">
        <v>15.777</v>
      </c>
      <c r="N243" s="100">
        <v>56</v>
      </c>
      <c r="O243" s="100">
        <v>45</v>
      </c>
      <c r="P243" s="100">
        <v>66</v>
      </c>
      <c r="Q243" s="100">
        <v>25</v>
      </c>
      <c r="S243" s="105">
        <v>45434</v>
      </c>
      <c r="T243" s="106">
        <f t="shared" si="3"/>
        <v>-6.67</v>
      </c>
    </row>
    <row r="244" spans="3:20">
      <c r="C244" s="105">
        <v>45433</v>
      </c>
      <c r="D244" s="106">
        <v>9.09</v>
      </c>
      <c r="E244" s="100">
        <v>14.37</v>
      </c>
      <c r="F244" s="100">
        <v>-37</v>
      </c>
      <c r="G244" s="100">
        <v>-19</v>
      </c>
      <c r="H244" s="100">
        <v>1</v>
      </c>
      <c r="I244" s="100">
        <v>-39</v>
      </c>
      <c r="K244" s="105">
        <v>45433</v>
      </c>
      <c r="L244" s="100">
        <v>24.771</v>
      </c>
      <c r="M244" s="106">
        <v>15.856</v>
      </c>
      <c r="N244" s="100">
        <v>56</v>
      </c>
      <c r="O244" s="100">
        <v>45</v>
      </c>
      <c r="P244" s="100">
        <v>66</v>
      </c>
      <c r="Q244" s="100">
        <v>25</v>
      </c>
      <c r="S244" s="105">
        <v>45433</v>
      </c>
      <c r="T244" s="106">
        <f t="shared" si="3"/>
        <v>-6.766</v>
      </c>
    </row>
    <row r="245" spans="3:20">
      <c r="C245" s="105">
        <v>45432</v>
      </c>
      <c r="D245" s="106">
        <v>9.336</v>
      </c>
      <c r="E245" s="100">
        <v>14.375</v>
      </c>
      <c r="F245" s="100">
        <v>-35</v>
      </c>
      <c r="G245" s="100">
        <v>-19</v>
      </c>
      <c r="H245" s="100">
        <v>1</v>
      </c>
      <c r="I245" s="100">
        <v>-39</v>
      </c>
      <c r="K245" s="105">
        <v>45432</v>
      </c>
      <c r="L245" s="100">
        <v>24.735</v>
      </c>
      <c r="M245" s="106">
        <v>15.855</v>
      </c>
      <c r="N245" s="100">
        <v>56</v>
      </c>
      <c r="O245" s="100">
        <v>45</v>
      </c>
      <c r="P245" s="100">
        <v>66</v>
      </c>
      <c r="Q245" s="100">
        <v>25</v>
      </c>
      <c r="S245" s="105">
        <v>45432</v>
      </c>
      <c r="T245" s="106">
        <f t="shared" si="3"/>
        <v>-6.519</v>
      </c>
    </row>
    <row r="246" spans="3:20">
      <c r="C246" s="105">
        <v>45429</v>
      </c>
      <c r="D246" s="106">
        <v>9.171</v>
      </c>
      <c r="E246" s="100">
        <v>14.287</v>
      </c>
      <c r="F246" s="100">
        <v>-36</v>
      </c>
      <c r="G246" s="100">
        <v>-19</v>
      </c>
      <c r="H246" s="100">
        <v>1</v>
      </c>
      <c r="I246" s="100">
        <v>-39</v>
      </c>
      <c r="K246" s="105">
        <v>45429</v>
      </c>
      <c r="L246" s="100">
        <v>24.751</v>
      </c>
      <c r="M246" s="106">
        <v>15.782</v>
      </c>
      <c r="N246" s="100">
        <v>57</v>
      </c>
      <c r="O246" s="100">
        <v>45</v>
      </c>
      <c r="P246" s="100">
        <v>66</v>
      </c>
      <c r="Q246" s="100">
        <v>25</v>
      </c>
      <c r="S246" s="105">
        <v>45429</v>
      </c>
      <c r="T246" s="106">
        <f t="shared" si="3"/>
        <v>-6.611</v>
      </c>
    </row>
    <row r="247" spans="3:20">
      <c r="C247" s="105">
        <v>45428</v>
      </c>
      <c r="D247" s="106">
        <v>9.471</v>
      </c>
      <c r="E247" s="100">
        <v>14.24</v>
      </c>
      <c r="F247" s="100">
        <v>-33</v>
      </c>
      <c r="G247" s="100">
        <v>-19</v>
      </c>
      <c r="H247" s="100">
        <v>1</v>
      </c>
      <c r="I247" s="100">
        <v>-39</v>
      </c>
      <c r="K247" s="105">
        <v>45428</v>
      </c>
      <c r="L247" s="100">
        <v>24.474</v>
      </c>
      <c r="M247" s="106">
        <v>15.702</v>
      </c>
      <c r="N247" s="100">
        <v>56</v>
      </c>
      <c r="O247" s="100">
        <v>45</v>
      </c>
      <c r="P247" s="100">
        <v>66</v>
      </c>
      <c r="Q247" s="100">
        <v>25</v>
      </c>
      <c r="S247" s="105">
        <v>45428</v>
      </c>
      <c r="T247" s="106">
        <f t="shared" si="3"/>
        <v>-6.231</v>
      </c>
    </row>
    <row r="248" spans="3:20">
      <c r="C248" s="105">
        <v>45427</v>
      </c>
      <c r="D248" s="106">
        <v>9.582</v>
      </c>
      <c r="E248" s="100">
        <v>14.229</v>
      </c>
      <c r="F248" s="100">
        <v>-33</v>
      </c>
      <c r="G248" s="100">
        <v>-19</v>
      </c>
      <c r="H248" s="100">
        <v>1</v>
      </c>
      <c r="I248" s="100">
        <v>-39</v>
      </c>
      <c r="K248" s="105">
        <v>45427</v>
      </c>
      <c r="L248" s="100">
        <v>24.188</v>
      </c>
      <c r="M248" s="106">
        <v>15.652</v>
      </c>
      <c r="N248" s="100">
        <v>55</v>
      </c>
      <c r="O248" s="100">
        <v>45</v>
      </c>
      <c r="P248" s="100">
        <v>66</v>
      </c>
      <c r="Q248" s="100">
        <v>25</v>
      </c>
      <c r="S248" s="105">
        <v>45427</v>
      </c>
      <c r="T248" s="106">
        <f t="shared" si="3"/>
        <v>-6.07</v>
      </c>
    </row>
    <row r="249" spans="3:20">
      <c r="C249" s="105">
        <v>45426</v>
      </c>
      <c r="D249" s="106">
        <v>9.307</v>
      </c>
      <c r="E249" s="100">
        <v>14.2</v>
      </c>
      <c r="F249" s="100">
        <v>-34</v>
      </c>
      <c r="G249" s="100">
        <v>-19</v>
      </c>
      <c r="H249" s="100">
        <v>1</v>
      </c>
      <c r="I249" s="100">
        <v>-39</v>
      </c>
      <c r="K249" s="105">
        <v>45426</v>
      </c>
      <c r="L249" s="100">
        <v>23.99</v>
      </c>
      <c r="M249" s="106">
        <v>15.598</v>
      </c>
      <c r="N249" s="100">
        <v>54</v>
      </c>
      <c r="O249" s="100">
        <v>45</v>
      </c>
      <c r="P249" s="100">
        <v>66</v>
      </c>
      <c r="Q249" s="100">
        <v>25</v>
      </c>
      <c r="S249" s="105">
        <v>45426</v>
      </c>
      <c r="T249" s="106">
        <f t="shared" si="3"/>
        <v>-6.291</v>
      </c>
    </row>
    <row r="250" spans="3:20">
      <c r="C250" s="105">
        <v>45425</v>
      </c>
      <c r="D250" s="106">
        <v>9.309</v>
      </c>
      <c r="E250" s="100">
        <v>14.103</v>
      </c>
      <c r="F250" s="100">
        <v>-34</v>
      </c>
      <c r="G250" s="100">
        <v>-19</v>
      </c>
      <c r="H250" s="100">
        <v>1</v>
      </c>
      <c r="I250" s="100">
        <v>-39</v>
      </c>
      <c r="K250" s="105">
        <v>45425</v>
      </c>
      <c r="L250" s="100">
        <v>24.147</v>
      </c>
      <c r="M250" s="106">
        <v>15.538</v>
      </c>
      <c r="N250" s="100">
        <v>55</v>
      </c>
      <c r="O250" s="100">
        <v>45</v>
      </c>
      <c r="P250" s="100">
        <v>66</v>
      </c>
      <c r="Q250" s="100">
        <v>25</v>
      </c>
      <c r="S250" s="105">
        <v>45425</v>
      </c>
      <c r="T250" s="106">
        <f t="shared" si="3"/>
        <v>-6.229</v>
      </c>
    </row>
    <row r="251" spans="3:20">
      <c r="C251" s="105">
        <v>45422</v>
      </c>
      <c r="D251" s="106">
        <v>9.227</v>
      </c>
      <c r="E251" s="100">
        <v>14.006</v>
      </c>
      <c r="F251" s="100">
        <v>-34</v>
      </c>
      <c r="G251" s="100">
        <v>-19</v>
      </c>
      <c r="H251" s="100">
        <v>1</v>
      </c>
      <c r="I251" s="100">
        <v>-39</v>
      </c>
      <c r="K251" s="105">
        <v>45422</v>
      </c>
      <c r="L251" s="100">
        <v>24.256</v>
      </c>
      <c r="M251" s="106">
        <v>15.47</v>
      </c>
      <c r="N251" s="100">
        <v>57</v>
      </c>
      <c r="O251" s="100">
        <v>45</v>
      </c>
      <c r="P251" s="100">
        <v>66</v>
      </c>
      <c r="Q251" s="100">
        <v>25</v>
      </c>
      <c r="S251" s="105">
        <v>45422</v>
      </c>
      <c r="T251" s="106">
        <f t="shared" si="3"/>
        <v>-6.243</v>
      </c>
    </row>
    <row r="252" spans="3:20">
      <c r="C252" s="105">
        <v>45421</v>
      </c>
      <c r="D252" s="106">
        <v>9.099</v>
      </c>
      <c r="E252" s="100">
        <v>13.9</v>
      </c>
      <c r="F252" s="100">
        <v>-35</v>
      </c>
      <c r="G252" s="100">
        <v>-19</v>
      </c>
      <c r="H252" s="100">
        <v>1</v>
      </c>
      <c r="I252" s="100">
        <v>-39</v>
      </c>
      <c r="K252" s="105">
        <v>45421</v>
      </c>
      <c r="L252" s="100">
        <v>24.35</v>
      </c>
      <c r="M252" s="106">
        <v>15.393</v>
      </c>
      <c r="N252" s="100">
        <v>58</v>
      </c>
      <c r="O252" s="100">
        <v>45</v>
      </c>
      <c r="P252" s="100">
        <v>66</v>
      </c>
      <c r="Q252" s="100">
        <v>25</v>
      </c>
      <c r="S252" s="105">
        <v>45421</v>
      </c>
      <c r="T252" s="106">
        <f t="shared" si="3"/>
        <v>-6.294</v>
      </c>
    </row>
    <row r="253" spans="3:20">
      <c r="C253" s="105">
        <v>45420</v>
      </c>
      <c r="D253" s="106">
        <v>8.847</v>
      </c>
      <c r="E253" s="100">
        <v>13.893</v>
      </c>
      <c r="F253" s="100">
        <v>-36</v>
      </c>
      <c r="G253" s="100">
        <v>-19</v>
      </c>
      <c r="H253" s="100">
        <v>1</v>
      </c>
      <c r="I253" s="100">
        <v>-39</v>
      </c>
      <c r="K253" s="105">
        <v>45420</v>
      </c>
      <c r="L253" s="100">
        <v>24.41</v>
      </c>
      <c r="M253" s="106">
        <v>15.395</v>
      </c>
      <c r="N253" s="100">
        <v>59</v>
      </c>
      <c r="O253" s="100">
        <v>45</v>
      </c>
      <c r="P253" s="100">
        <v>66</v>
      </c>
      <c r="Q253" s="100">
        <v>25</v>
      </c>
      <c r="S253" s="105">
        <v>45420</v>
      </c>
      <c r="T253" s="106">
        <f t="shared" si="3"/>
        <v>-6.548</v>
      </c>
    </row>
    <row r="254" spans="3:20">
      <c r="C254" s="105">
        <v>45419</v>
      </c>
      <c r="D254" s="106">
        <v>9.007</v>
      </c>
      <c r="E254" s="100">
        <v>13.88</v>
      </c>
      <c r="F254" s="100">
        <v>-35</v>
      </c>
      <c r="G254" s="100">
        <v>-19</v>
      </c>
      <c r="H254" s="100">
        <v>1</v>
      </c>
      <c r="I254" s="100">
        <v>-39</v>
      </c>
      <c r="K254" s="105">
        <v>45419</v>
      </c>
      <c r="L254" s="100">
        <v>24.762</v>
      </c>
      <c r="M254" s="106">
        <v>15.435</v>
      </c>
      <c r="N254" s="100">
        <v>60</v>
      </c>
      <c r="O254" s="100">
        <v>45</v>
      </c>
      <c r="P254" s="100">
        <v>66</v>
      </c>
      <c r="Q254" s="100">
        <v>25</v>
      </c>
      <c r="S254" s="105">
        <v>45419</v>
      </c>
      <c r="T254" s="106">
        <f t="shared" si="3"/>
        <v>-6.428</v>
      </c>
    </row>
    <row r="255" spans="3:20">
      <c r="C255" s="105">
        <v>45415</v>
      </c>
      <c r="D255" s="106">
        <v>8.782</v>
      </c>
      <c r="E255" s="100">
        <v>13.882</v>
      </c>
      <c r="F255" s="100">
        <v>-37</v>
      </c>
      <c r="G255" s="100">
        <v>-19</v>
      </c>
      <c r="H255" s="100">
        <v>1</v>
      </c>
      <c r="I255" s="100">
        <v>-39</v>
      </c>
      <c r="K255" s="105">
        <v>45415</v>
      </c>
      <c r="L255" s="100">
        <v>24.41</v>
      </c>
      <c r="M255" s="106">
        <v>15.386</v>
      </c>
      <c r="N255" s="100">
        <v>59</v>
      </c>
      <c r="O255" s="100">
        <v>45</v>
      </c>
      <c r="P255" s="100">
        <v>66</v>
      </c>
      <c r="Q255" s="100">
        <v>25</v>
      </c>
      <c r="S255" s="105">
        <v>45415</v>
      </c>
      <c r="T255" s="106">
        <f t="shared" si="3"/>
        <v>-6.604</v>
      </c>
    </row>
    <row r="256" spans="3:20">
      <c r="C256" s="105">
        <v>45414</v>
      </c>
      <c r="D256" s="106">
        <v>8.643</v>
      </c>
      <c r="E256" s="100">
        <v>13.761</v>
      </c>
      <c r="F256" s="100">
        <v>-37</v>
      </c>
      <c r="G256" s="100">
        <v>-19</v>
      </c>
      <c r="H256" s="100">
        <v>1</v>
      </c>
      <c r="I256" s="100">
        <v>-39</v>
      </c>
      <c r="K256" s="105">
        <v>45414</v>
      </c>
      <c r="L256" s="100">
        <v>24.132</v>
      </c>
      <c r="M256" s="106">
        <v>15.242</v>
      </c>
      <c r="N256" s="100">
        <v>58</v>
      </c>
      <c r="O256" s="100">
        <v>45</v>
      </c>
      <c r="P256" s="100">
        <v>66</v>
      </c>
      <c r="Q256" s="100">
        <v>25</v>
      </c>
      <c r="S256" s="105">
        <v>45414</v>
      </c>
      <c r="T256" s="106">
        <f t="shared" si="3"/>
        <v>-6.599</v>
      </c>
    </row>
    <row r="257" spans="3:20">
      <c r="C257" s="105">
        <v>45413</v>
      </c>
      <c r="D257" s="106">
        <v>8.518</v>
      </c>
      <c r="E257" s="100">
        <v>13.957</v>
      </c>
      <c r="F257" s="100">
        <v>-39</v>
      </c>
      <c r="G257" s="100">
        <v>-19</v>
      </c>
      <c r="H257" s="100">
        <v>1</v>
      </c>
      <c r="I257" s="100">
        <v>-39</v>
      </c>
      <c r="K257" s="105">
        <v>45413</v>
      </c>
      <c r="L257" s="100">
        <v>23.662</v>
      </c>
      <c r="M257" s="106">
        <v>15.344</v>
      </c>
      <c r="N257" s="100">
        <v>54</v>
      </c>
      <c r="O257" s="100">
        <v>45</v>
      </c>
      <c r="P257" s="100">
        <v>66</v>
      </c>
      <c r="Q257" s="100">
        <v>25</v>
      </c>
      <c r="S257" s="105">
        <v>45413</v>
      </c>
      <c r="T257" s="106">
        <f t="shared" si="3"/>
        <v>-6.826</v>
      </c>
    </row>
    <row r="258" spans="3:20">
      <c r="C258" s="105">
        <v>45412</v>
      </c>
      <c r="D258" s="106">
        <v>8.785</v>
      </c>
      <c r="E258" s="100">
        <v>14.007</v>
      </c>
      <c r="F258" s="100">
        <v>-37</v>
      </c>
      <c r="G258" s="100">
        <v>-19</v>
      </c>
      <c r="H258" s="100">
        <v>1</v>
      </c>
      <c r="I258" s="100">
        <v>-39</v>
      </c>
      <c r="K258" s="105">
        <v>45412</v>
      </c>
      <c r="L258" s="100">
        <v>23.617</v>
      </c>
      <c r="M258" s="106">
        <v>15.38</v>
      </c>
      <c r="N258" s="100">
        <v>54</v>
      </c>
      <c r="O258" s="100">
        <v>45</v>
      </c>
      <c r="P258" s="100">
        <v>66</v>
      </c>
      <c r="Q258" s="100">
        <v>25</v>
      </c>
      <c r="S258" s="105">
        <v>45412</v>
      </c>
      <c r="T258" s="106">
        <f t="shared" si="3"/>
        <v>-6.595</v>
      </c>
    </row>
    <row r="259" spans="3:20">
      <c r="C259" s="105">
        <v>45411</v>
      </c>
      <c r="D259" s="106">
        <v>8.866</v>
      </c>
      <c r="E259" s="100">
        <v>14.215</v>
      </c>
      <c r="F259" s="100">
        <v>-38</v>
      </c>
      <c r="G259" s="100">
        <v>-19</v>
      </c>
      <c r="H259" s="100">
        <v>1</v>
      </c>
      <c r="I259" s="100">
        <v>-39</v>
      </c>
      <c r="K259" s="105">
        <v>45411</v>
      </c>
      <c r="L259" s="100">
        <v>23.5</v>
      </c>
      <c r="M259" s="106">
        <v>15.542</v>
      </c>
      <c r="N259" s="100">
        <v>51</v>
      </c>
      <c r="O259" s="100">
        <v>45</v>
      </c>
      <c r="P259" s="100">
        <v>66</v>
      </c>
      <c r="Q259" s="100">
        <v>25</v>
      </c>
      <c r="S259" s="105">
        <v>45411</v>
      </c>
      <c r="T259" s="106">
        <f t="shared" si="3"/>
        <v>-6.676</v>
      </c>
    </row>
    <row r="260" spans="3:20">
      <c r="C260" s="105">
        <v>45408</v>
      </c>
      <c r="D260" s="106">
        <v>9.215</v>
      </c>
      <c r="E260" s="100">
        <v>14.376</v>
      </c>
      <c r="F260" s="100">
        <v>-36</v>
      </c>
      <c r="G260" s="100">
        <v>-19</v>
      </c>
      <c r="H260" s="100">
        <v>1</v>
      </c>
      <c r="I260" s="100">
        <v>-39</v>
      </c>
      <c r="K260" s="105">
        <v>45408</v>
      </c>
      <c r="L260" s="100">
        <v>23.876</v>
      </c>
      <c r="M260" s="106">
        <v>15.733</v>
      </c>
      <c r="N260" s="100">
        <v>52</v>
      </c>
      <c r="O260" s="100">
        <v>45</v>
      </c>
      <c r="P260" s="100">
        <v>66</v>
      </c>
      <c r="Q260" s="100">
        <v>25</v>
      </c>
      <c r="S260" s="105">
        <v>45408</v>
      </c>
      <c r="T260" s="106">
        <f t="shared" si="3"/>
        <v>-6.518</v>
      </c>
    </row>
    <row r="261" spans="3:20">
      <c r="C261" s="105">
        <v>45407</v>
      </c>
      <c r="D261" s="106">
        <v>8.921</v>
      </c>
      <c r="E261" s="100">
        <v>14.225</v>
      </c>
      <c r="F261" s="100">
        <v>-37</v>
      </c>
      <c r="G261" s="100">
        <v>-19</v>
      </c>
      <c r="H261" s="100">
        <v>1</v>
      </c>
      <c r="I261" s="100">
        <v>-39</v>
      </c>
      <c r="K261" s="105">
        <v>45407</v>
      </c>
      <c r="L261" s="100">
        <v>23.777</v>
      </c>
      <c r="M261" s="106">
        <v>15.59</v>
      </c>
      <c r="N261" s="100">
        <v>53</v>
      </c>
      <c r="O261" s="100">
        <v>45</v>
      </c>
      <c r="P261" s="100">
        <v>66</v>
      </c>
      <c r="Q261" s="100">
        <v>25</v>
      </c>
      <c r="S261" s="105">
        <v>45407</v>
      </c>
      <c r="T261" s="106">
        <f t="shared" si="3"/>
        <v>-6.669</v>
      </c>
    </row>
    <row r="262" spans="3:20">
      <c r="C262" s="105">
        <v>45406</v>
      </c>
      <c r="D262" s="106">
        <v>9.075</v>
      </c>
      <c r="E262" s="100">
        <v>14.347</v>
      </c>
      <c r="F262" s="100">
        <v>-37</v>
      </c>
      <c r="G262" s="100">
        <v>-19</v>
      </c>
      <c r="H262" s="100">
        <v>1</v>
      </c>
      <c r="I262" s="100">
        <v>-39</v>
      </c>
      <c r="K262" s="105">
        <v>45406</v>
      </c>
      <c r="L262" s="100">
        <v>23.561</v>
      </c>
      <c r="M262" s="106">
        <v>15.663</v>
      </c>
      <c r="N262" s="100">
        <v>50</v>
      </c>
      <c r="O262" s="100">
        <v>45</v>
      </c>
      <c r="P262" s="100">
        <v>66</v>
      </c>
      <c r="Q262" s="100">
        <v>25</v>
      </c>
      <c r="S262" s="105">
        <v>45406</v>
      </c>
      <c r="T262" s="106">
        <f t="shared" si="3"/>
        <v>-6.588</v>
      </c>
    </row>
    <row r="263" spans="3:20">
      <c r="C263" s="105">
        <v>45405</v>
      </c>
      <c r="D263" s="106">
        <v>9.311</v>
      </c>
      <c r="E263" s="100">
        <v>14.539</v>
      </c>
      <c r="F263" s="100">
        <v>-36</v>
      </c>
      <c r="G263" s="100">
        <v>-19</v>
      </c>
      <c r="H263" s="100">
        <v>1</v>
      </c>
      <c r="I263" s="100">
        <v>-39</v>
      </c>
      <c r="K263" s="105">
        <v>45405</v>
      </c>
      <c r="L263" s="100">
        <v>24.065</v>
      </c>
      <c r="M263" s="106">
        <v>15.9</v>
      </c>
      <c r="N263" s="100">
        <v>51</v>
      </c>
      <c r="O263" s="100">
        <v>45</v>
      </c>
      <c r="P263" s="100">
        <v>66</v>
      </c>
      <c r="Q263" s="100">
        <v>25</v>
      </c>
      <c r="S263" s="105">
        <v>45405</v>
      </c>
      <c r="T263" s="106">
        <f t="shared" si="3"/>
        <v>-6.589</v>
      </c>
    </row>
    <row r="264" spans="3:20">
      <c r="C264" s="105">
        <v>45404</v>
      </c>
      <c r="D264" s="106">
        <v>8.963</v>
      </c>
      <c r="E264" s="100">
        <v>14.191</v>
      </c>
      <c r="F264" s="100">
        <v>-37</v>
      </c>
      <c r="G264" s="100">
        <v>-19</v>
      </c>
      <c r="H264" s="100">
        <v>1</v>
      </c>
      <c r="I264" s="100">
        <v>-39</v>
      </c>
      <c r="K264" s="105">
        <v>45404</v>
      </c>
      <c r="L264" s="100">
        <v>24.366</v>
      </c>
      <c r="M264" s="106">
        <v>15.645</v>
      </c>
      <c r="N264" s="100">
        <v>56</v>
      </c>
      <c r="O264" s="100">
        <v>45</v>
      </c>
      <c r="P264" s="100">
        <v>66</v>
      </c>
      <c r="Q264" s="100">
        <v>25</v>
      </c>
      <c r="S264" s="105">
        <v>45404</v>
      </c>
      <c r="T264" s="106">
        <f t="shared" si="3"/>
        <v>-6.682</v>
      </c>
    </row>
    <row r="265" spans="3:20">
      <c r="C265" s="105">
        <v>45401</v>
      </c>
      <c r="D265" s="106">
        <v>8.912</v>
      </c>
      <c r="E265" s="100">
        <v>13.922</v>
      </c>
      <c r="F265" s="100">
        <v>-36</v>
      </c>
      <c r="G265" s="100">
        <v>-19</v>
      </c>
      <c r="H265" s="100">
        <v>1</v>
      </c>
      <c r="I265" s="100">
        <v>-39</v>
      </c>
      <c r="K265" s="105">
        <v>45401</v>
      </c>
      <c r="L265" s="100">
        <v>24.07</v>
      </c>
      <c r="M265" s="106">
        <v>15.372</v>
      </c>
      <c r="N265" s="100">
        <v>57</v>
      </c>
      <c r="O265" s="100">
        <v>45</v>
      </c>
      <c r="P265" s="100">
        <v>66</v>
      </c>
      <c r="Q265" s="100">
        <v>25</v>
      </c>
      <c r="S265" s="105">
        <v>45401</v>
      </c>
      <c r="T265" s="106">
        <f t="shared" si="3"/>
        <v>-6.46</v>
      </c>
    </row>
    <row r="266" spans="3:20">
      <c r="C266" s="105">
        <v>45400</v>
      </c>
      <c r="D266" s="106">
        <v>9.168</v>
      </c>
      <c r="E266" s="100">
        <v>13.988</v>
      </c>
      <c r="F266" s="100">
        <v>-34</v>
      </c>
      <c r="G266" s="100">
        <v>-19</v>
      </c>
      <c r="H266" s="100">
        <v>1</v>
      </c>
      <c r="I266" s="100">
        <v>-39</v>
      </c>
      <c r="K266" s="105">
        <v>45400</v>
      </c>
      <c r="L266" s="100">
        <v>24.212</v>
      </c>
      <c r="M266" s="106">
        <v>15.449</v>
      </c>
      <c r="N266" s="100">
        <v>57</v>
      </c>
      <c r="O266" s="100">
        <v>45</v>
      </c>
      <c r="P266" s="100">
        <v>66</v>
      </c>
      <c r="Q266" s="100">
        <v>25</v>
      </c>
      <c r="S266" s="105">
        <v>45400</v>
      </c>
      <c r="T266" s="106">
        <f t="shared" si="3"/>
        <v>-6.281</v>
      </c>
    </row>
    <row r="267" spans="3:20">
      <c r="C267" s="105">
        <v>45399</v>
      </c>
      <c r="D267" s="106">
        <v>9.078</v>
      </c>
      <c r="E267" s="100">
        <v>13.909</v>
      </c>
      <c r="F267" s="100">
        <v>-35</v>
      </c>
      <c r="G267" s="100">
        <v>-19</v>
      </c>
      <c r="H267" s="100">
        <v>1</v>
      </c>
      <c r="I267" s="100">
        <v>-39</v>
      </c>
      <c r="K267" s="105">
        <v>45399</v>
      </c>
      <c r="L267" s="100">
        <v>24.475</v>
      </c>
      <c r="M267" s="106">
        <v>15.418</v>
      </c>
      <c r="N267" s="100">
        <v>59</v>
      </c>
      <c r="O267" s="100">
        <v>45</v>
      </c>
      <c r="P267" s="100">
        <v>66</v>
      </c>
      <c r="Q267" s="100">
        <v>25</v>
      </c>
      <c r="S267" s="105">
        <v>45399</v>
      </c>
      <c r="T267" s="106">
        <f t="shared" si="3"/>
        <v>-6.34</v>
      </c>
    </row>
    <row r="268" spans="3:20">
      <c r="C268" s="105">
        <v>45398</v>
      </c>
      <c r="D268" s="106">
        <v>8.919</v>
      </c>
      <c r="E268" s="100">
        <v>13.839</v>
      </c>
      <c r="F268" s="100">
        <v>-36</v>
      </c>
      <c r="G268" s="100">
        <v>-19</v>
      </c>
      <c r="H268" s="100">
        <v>1</v>
      </c>
      <c r="I268" s="100">
        <v>-39</v>
      </c>
      <c r="K268" s="105">
        <v>45398</v>
      </c>
      <c r="L268" s="100">
        <v>24.545</v>
      </c>
      <c r="M268" s="106">
        <v>15.369</v>
      </c>
      <c r="N268" s="100">
        <v>60</v>
      </c>
      <c r="O268" s="100">
        <v>45</v>
      </c>
      <c r="P268" s="100">
        <v>66</v>
      </c>
      <c r="Q268" s="100">
        <v>25</v>
      </c>
      <c r="S268" s="105">
        <v>45398</v>
      </c>
      <c r="T268" s="106">
        <f t="shared" si="3"/>
        <v>-6.45</v>
      </c>
    </row>
    <row r="269" spans="3:20">
      <c r="C269" s="105">
        <v>45397</v>
      </c>
      <c r="D269" s="106">
        <v>9.131</v>
      </c>
      <c r="E269" s="100">
        <v>14</v>
      </c>
      <c r="F269" s="100">
        <v>-35</v>
      </c>
      <c r="G269" s="100">
        <v>-19</v>
      </c>
      <c r="H269" s="100">
        <v>1</v>
      </c>
      <c r="I269" s="100">
        <v>-39</v>
      </c>
      <c r="K269" s="105">
        <v>45397</v>
      </c>
      <c r="L269" s="100">
        <v>24.873</v>
      </c>
      <c r="M269" s="106">
        <v>15.553</v>
      </c>
      <c r="N269" s="100">
        <v>60</v>
      </c>
      <c r="O269" s="100">
        <v>45</v>
      </c>
      <c r="P269" s="100">
        <v>66</v>
      </c>
      <c r="Q269" s="100">
        <v>25</v>
      </c>
      <c r="S269" s="105">
        <v>45397</v>
      </c>
      <c r="T269" s="106">
        <f t="shared" si="3"/>
        <v>-6.422</v>
      </c>
    </row>
    <row r="270" spans="3:20">
      <c r="C270" s="105">
        <v>45394</v>
      </c>
      <c r="D270" s="106">
        <v>9.072</v>
      </c>
      <c r="E270" s="100">
        <v>13.977</v>
      </c>
      <c r="F270" s="100">
        <v>-35</v>
      </c>
      <c r="G270" s="100">
        <v>-19</v>
      </c>
      <c r="H270" s="100">
        <v>1</v>
      </c>
      <c r="I270" s="100">
        <v>-39</v>
      </c>
      <c r="K270" s="105">
        <v>45394</v>
      </c>
      <c r="L270" s="100">
        <v>24.901</v>
      </c>
      <c r="M270" s="106">
        <v>15.538</v>
      </c>
      <c r="N270" s="100">
        <v>60</v>
      </c>
      <c r="O270" s="100">
        <v>45</v>
      </c>
      <c r="P270" s="100">
        <v>66</v>
      </c>
      <c r="Q270" s="100">
        <v>25</v>
      </c>
      <c r="S270" s="105">
        <v>45394</v>
      </c>
      <c r="T270" s="106">
        <f t="shared" si="3"/>
        <v>-6.466</v>
      </c>
    </row>
    <row r="271" spans="3:20">
      <c r="C271" s="105">
        <v>45393</v>
      </c>
      <c r="D271" s="106">
        <v>9.367</v>
      </c>
      <c r="E271" s="100">
        <v>14.081</v>
      </c>
      <c r="F271" s="100">
        <v>-33</v>
      </c>
      <c r="G271" s="100">
        <v>-19</v>
      </c>
      <c r="H271" s="100">
        <v>1</v>
      </c>
      <c r="I271" s="100">
        <v>-39</v>
      </c>
      <c r="K271" s="105">
        <v>45393</v>
      </c>
      <c r="L271" s="100">
        <v>24.859</v>
      </c>
      <c r="M271" s="106">
        <v>15.621</v>
      </c>
      <c r="N271" s="100">
        <v>59</v>
      </c>
      <c r="O271" s="100">
        <v>45</v>
      </c>
      <c r="P271" s="100">
        <v>66</v>
      </c>
      <c r="Q271" s="100">
        <v>25</v>
      </c>
      <c r="S271" s="105">
        <v>45393</v>
      </c>
      <c r="T271" s="106">
        <f t="shared" si="3"/>
        <v>-6.254</v>
      </c>
    </row>
    <row r="272" spans="3:20">
      <c r="C272" s="105">
        <v>45392</v>
      </c>
      <c r="D272" s="106">
        <v>9.491</v>
      </c>
      <c r="E272" s="100">
        <v>14.101</v>
      </c>
      <c r="F272" s="100">
        <v>-33</v>
      </c>
      <c r="G272" s="100">
        <v>-19</v>
      </c>
      <c r="H272" s="100">
        <v>1</v>
      </c>
      <c r="I272" s="100">
        <v>-39</v>
      </c>
      <c r="K272" s="105">
        <v>45392</v>
      </c>
      <c r="L272" s="100">
        <v>24.786</v>
      </c>
      <c r="M272" s="106">
        <v>15.627</v>
      </c>
      <c r="N272" s="100">
        <v>59</v>
      </c>
      <c r="O272" s="100">
        <v>45</v>
      </c>
      <c r="P272" s="100">
        <v>66</v>
      </c>
      <c r="Q272" s="100">
        <v>25</v>
      </c>
      <c r="S272" s="105">
        <v>45392</v>
      </c>
      <c r="T272" s="106">
        <f t="shared" si="3"/>
        <v>-6.136</v>
      </c>
    </row>
    <row r="273" spans="3:20">
      <c r="C273" s="105">
        <v>45391</v>
      </c>
      <c r="D273" s="106">
        <v>9.539</v>
      </c>
      <c r="E273" s="100">
        <v>14.129</v>
      </c>
      <c r="F273" s="100">
        <v>-32</v>
      </c>
      <c r="G273" s="100">
        <v>-19</v>
      </c>
      <c r="H273" s="100">
        <v>1</v>
      </c>
      <c r="I273" s="100">
        <v>-39</v>
      </c>
      <c r="K273" s="105">
        <v>45391</v>
      </c>
      <c r="L273" s="100">
        <v>24.543</v>
      </c>
      <c r="M273" s="106">
        <v>15.617</v>
      </c>
      <c r="N273" s="100">
        <v>57</v>
      </c>
      <c r="O273" s="100">
        <v>45</v>
      </c>
      <c r="P273" s="100">
        <v>66</v>
      </c>
      <c r="Q273" s="100">
        <v>25</v>
      </c>
      <c r="S273" s="105">
        <v>45391</v>
      </c>
      <c r="T273" s="106">
        <f t="shared" si="3"/>
        <v>-6.078</v>
      </c>
    </row>
    <row r="274" spans="3:20">
      <c r="C274" s="105">
        <v>45390</v>
      </c>
      <c r="D274" s="106">
        <v>9.529</v>
      </c>
      <c r="E274" s="100">
        <v>14.216</v>
      </c>
      <c r="F274" s="100">
        <v>-33</v>
      </c>
      <c r="G274" s="100">
        <v>-19</v>
      </c>
      <c r="H274" s="100">
        <v>1</v>
      </c>
      <c r="I274" s="100">
        <v>-39</v>
      </c>
      <c r="K274" s="105">
        <v>45390</v>
      </c>
      <c r="L274" s="100">
        <v>24.678</v>
      </c>
      <c r="M274" s="106">
        <v>15.71</v>
      </c>
      <c r="N274" s="100">
        <v>57</v>
      </c>
      <c r="O274" s="100">
        <v>45</v>
      </c>
      <c r="P274" s="100">
        <v>66</v>
      </c>
      <c r="Q274" s="100">
        <v>25</v>
      </c>
      <c r="S274" s="105">
        <v>45390</v>
      </c>
      <c r="T274" s="106">
        <f t="shared" si="3"/>
        <v>-6.181</v>
      </c>
    </row>
    <row r="275" spans="3:20">
      <c r="C275" s="105">
        <v>45387</v>
      </c>
      <c r="D275" s="106">
        <v>9.677</v>
      </c>
      <c r="E275" s="100">
        <v>14.149</v>
      </c>
      <c r="F275" s="100">
        <v>-32</v>
      </c>
      <c r="G275" s="100">
        <v>-19</v>
      </c>
      <c r="H275" s="100">
        <v>1</v>
      </c>
      <c r="I275" s="100">
        <v>-39</v>
      </c>
      <c r="K275" s="105">
        <v>45387</v>
      </c>
      <c r="L275" s="100">
        <v>25.078</v>
      </c>
      <c r="M275" s="106">
        <v>15.71</v>
      </c>
      <c r="N275" s="100">
        <v>60</v>
      </c>
      <c r="O275" s="100">
        <v>45</v>
      </c>
      <c r="P275" s="100">
        <v>66</v>
      </c>
      <c r="Q275" s="100">
        <v>25</v>
      </c>
      <c r="S275" s="105">
        <v>45387</v>
      </c>
      <c r="T275" s="106">
        <f t="shared" si="3"/>
        <v>-6.033</v>
      </c>
    </row>
    <row r="276" spans="3:20">
      <c r="C276" s="105">
        <v>45386</v>
      </c>
      <c r="D276" s="106">
        <v>10.021</v>
      </c>
      <c r="E276" s="100">
        <v>14.39</v>
      </c>
      <c r="F276" s="100">
        <v>-30</v>
      </c>
      <c r="G276" s="100">
        <v>-19</v>
      </c>
      <c r="H276" s="100">
        <v>1</v>
      </c>
      <c r="I276" s="100">
        <v>-39</v>
      </c>
      <c r="K276" s="105">
        <v>45386</v>
      </c>
      <c r="L276" s="100">
        <v>25.177</v>
      </c>
      <c r="M276" s="106">
        <v>15.931</v>
      </c>
      <c r="N276" s="100">
        <v>58</v>
      </c>
      <c r="O276" s="100">
        <v>45</v>
      </c>
      <c r="P276" s="100">
        <v>66</v>
      </c>
      <c r="Q276" s="100">
        <v>25</v>
      </c>
      <c r="S276" s="105">
        <v>45386</v>
      </c>
      <c r="T276" s="106">
        <f t="shared" si="3"/>
        <v>-5.91</v>
      </c>
    </row>
    <row r="277" spans="3:20">
      <c r="C277" s="105">
        <v>45385</v>
      </c>
      <c r="D277" s="106">
        <v>10.044</v>
      </c>
      <c r="E277" s="100">
        <v>14.53</v>
      </c>
      <c r="F277" s="100">
        <v>-31</v>
      </c>
      <c r="G277" s="100">
        <v>-19</v>
      </c>
      <c r="H277" s="100">
        <v>1</v>
      </c>
      <c r="I277" s="100">
        <v>-39</v>
      </c>
      <c r="K277" s="105">
        <v>45385</v>
      </c>
      <c r="L277" s="100">
        <v>25.045</v>
      </c>
      <c r="M277" s="106">
        <v>16.032</v>
      </c>
      <c r="N277" s="100">
        <v>56</v>
      </c>
      <c r="O277" s="100">
        <v>45</v>
      </c>
      <c r="P277" s="100">
        <v>66</v>
      </c>
      <c r="Q277" s="100">
        <v>25</v>
      </c>
      <c r="S277" s="105">
        <v>45385</v>
      </c>
      <c r="T277" s="106">
        <f t="shared" si="3"/>
        <v>-5.988</v>
      </c>
    </row>
    <row r="278" spans="3:20">
      <c r="C278" s="105">
        <v>45384</v>
      </c>
      <c r="D278" s="106">
        <v>10.121</v>
      </c>
      <c r="E278" s="100">
        <v>14.506</v>
      </c>
      <c r="F278" s="100">
        <v>-30</v>
      </c>
      <c r="G278" s="100">
        <v>-19</v>
      </c>
      <c r="H278" s="100">
        <v>1</v>
      </c>
      <c r="I278" s="100">
        <v>-39</v>
      </c>
      <c r="K278" s="105">
        <v>45384</v>
      </c>
      <c r="L278" s="100">
        <v>25.228</v>
      </c>
      <c r="M278" s="106">
        <v>16.038</v>
      </c>
      <c r="N278" s="100">
        <v>57</v>
      </c>
      <c r="O278" s="100">
        <v>45</v>
      </c>
      <c r="P278" s="100">
        <v>66</v>
      </c>
      <c r="Q278" s="100">
        <v>25</v>
      </c>
      <c r="S278" s="105">
        <v>45384</v>
      </c>
      <c r="T278" s="106">
        <f t="shared" ref="T278:T341" si="4">D278-M278</f>
        <v>-5.917</v>
      </c>
    </row>
    <row r="279" spans="3:20">
      <c r="C279" s="105">
        <v>45379</v>
      </c>
      <c r="D279" s="106">
        <v>10.25</v>
      </c>
      <c r="E279" s="100">
        <v>14.894</v>
      </c>
      <c r="F279" s="100">
        <v>-31</v>
      </c>
      <c r="G279" s="100">
        <v>-19</v>
      </c>
      <c r="H279" s="100">
        <v>1</v>
      </c>
      <c r="I279" s="100">
        <v>-39</v>
      </c>
      <c r="K279" s="105">
        <v>45379</v>
      </c>
      <c r="L279" s="100">
        <v>25.44</v>
      </c>
      <c r="M279" s="106">
        <v>16.401</v>
      </c>
      <c r="N279" s="100">
        <v>55</v>
      </c>
      <c r="O279" s="100">
        <v>45</v>
      </c>
      <c r="P279" s="100">
        <v>66</v>
      </c>
      <c r="Q279" s="100">
        <v>25</v>
      </c>
      <c r="S279" s="105">
        <v>45379</v>
      </c>
      <c r="T279" s="106">
        <f t="shared" si="4"/>
        <v>-6.151</v>
      </c>
    </row>
    <row r="280" spans="3:20">
      <c r="C280" s="105">
        <v>45378</v>
      </c>
      <c r="D280" s="106">
        <v>8.869</v>
      </c>
      <c r="E280" s="100">
        <v>14.752</v>
      </c>
      <c r="F280" s="100">
        <v>-40</v>
      </c>
      <c r="G280" s="100">
        <v>-19</v>
      </c>
      <c r="H280" s="100">
        <v>1</v>
      </c>
      <c r="I280" s="100">
        <v>-39</v>
      </c>
      <c r="K280" s="105">
        <v>45378</v>
      </c>
      <c r="L280" s="100">
        <v>25.726</v>
      </c>
      <c r="M280" s="106">
        <v>16.32</v>
      </c>
      <c r="N280" s="100">
        <v>58</v>
      </c>
      <c r="O280" s="100">
        <v>45</v>
      </c>
      <c r="P280" s="100">
        <v>66</v>
      </c>
      <c r="Q280" s="100">
        <v>25</v>
      </c>
      <c r="S280" s="105">
        <v>45378</v>
      </c>
      <c r="T280" s="106">
        <f t="shared" si="4"/>
        <v>-7.451</v>
      </c>
    </row>
    <row r="281" spans="3:20">
      <c r="C281" s="105">
        <v>45377</v>
      </c>
      <c r="D281" s="106">
        <v>8.714</v>
      </c>
      <c r="E281" s="100">
        <v>14.293</v>
      </c>
      <c r="F281" s="100">
        <v>-39</v>
      </c>
      <c r="G281" s="100">
        <v>-19</v>
      </c>
      <c r="H281" s="100">
        <v>1</v>
      </c>
      <c r="I281" s="100">
        <v>-39</v>
      </c>
      <c r="K281" s="105">
        <v>45377</v>
      </c>
      <c r="L281" s="100">
        <v>25.958</v>
      </c>
      <c r="M281" s="106">
        <v>15.96</v>
      </c>
      <c r="N281" s="100">
        <v>63</v>
      </c>
      <c r="O281" s="100">
        <v>45</v>
      </c>
      <c r="P281" s="100">
        <v>66</v>
      </c>
      <c r="Q281" s="100">
        <v>25</v>
      </c>
      <c r="S281" s="105">
        <v>45377</v>
      </c>
      <c r="T281" s="106">
        <f t="shared" si="4"/>
        <v>-7.246</v>
      </c>
    </row>
    <row r="282" spans="3:20">
      <c r="C282" s="105">
        <v>45376</v>
      </c>
      <c r="D282" s="106">
        <v>8.406</v>
      </c>
      <c r="E282" s="100">
        <v>14.084</v>
      </c>
      <c r="F282" s="100">
        <v>-40</v>
      </c>
      <c r="G282" s="100">
        <v>-19</v>
      </c>
      <c r="H282" s="100">
        <v>1</v>
      </c>
      <c r="I282" s="100">
        <v>-39</v>
      </c>
      <c r="K282" s="105">
        <v>45376</v>
      </c>
      <c r="L282" s="100">
        <v>25.713</v>
      </c>
      <c r="M282" s="106">
        <v>15.746</v>
      </c>
      <c r="N282" s="100">
        <v>63</v>
      </c>
      <c r="O282" s="100">
        <v>45</v>
      </c>
      <c r="P282" s="100">
        <v>66</v>
      </c>
      <c r="Q282" s="100">
        <v>25</v>
      </c>
      <c r="S282" s="105">
        <v>45376</v>
      </c>
      <c r="T282" s="106">
        <f t="shared" si="4"/>
        <v>-7.34</v>
      </c>
    </row>
    <row r="283" spans="3:20">
      <c r="C283" s="105">
        <v>45373</v>
      </c>
      <c r="D283" s="106">
        <v>8.389</v>
      </c>
      <c r="E283" s="100">
        <v>14.066</v>
      </c>
      <c r="F283" s="100">
        <v>-40</v>
      </c>
      <c r="G283" s="100">
        <v>-19</v>
      </c>
      <c r="H283" s="100">
        <v>1</v>
      </c>
      <c r="I283" s="100">
        <v>-39</v>
      </c>
      <c r="K283" s="105">
        <v>45373</v>
      </c>
      <c r="L283" s="100">
        <v>25.933</v>
      </c>
      <c r="M283" s="106">
        <v>15.761</v>
      </c>
      <c r="N283" s="100">
        <v>65</v>
      </c>
      <c r="O283" s="100">
        <v>45</v>
      </c>
      <c r="P283" s="100">
        <v>66</v>
      </c>
      <c r="Q283" s="100">
        <v>25</v>
      </c>
      <c r="S283" s="105">
        <v>45373</v>
      </c>
      <c r="T283" s="106">
        <f t="shared" si="4"/>
        <v>-7.372</v>
      </c>
    </row>
    <row r="284" spans="3:20">
      <c r="C284" s="105">
        <v>45372</v>
      </c>
      <c r="D284" s="106">
        <v>8.951</v>
      </c>
      <c r="E284" s="100">
        <v>14.201</v>
      </c>
      <c r="F284" s="100">
        <v>-37</v>
      </c>
      <c r="G284" s="100">
        <v>-19</v>
      </c>
      <c r="H284" s="100">
        <v>1</v>
      </c>
      <c r="I284" s="100">
        <v>-39</v>
      </c>
      <c r="K284" s="105">
        <v>45372</v>
      </c>
      <c r="L284" s="100">
        <v>25.689</v>
      </c>
      <c r="M284" s="106">
        <v>15.842</v>
      </c>
      <c r="N284" s="100">
        <v>62</v>
      </c>
      <c r="O284" s="100">
        <v>45</v>
      </c>
      <c r="P284" s="100">
        <v>66</v>
      </c>
      <c r="Q284" s="100">
        <v>25</v>
      </c>
      <c r="S284" s="105">
        <v>45372</v>
      </c>
      <c r="T284" s="106">
        <f t="shared" si="4"/>
        <v>-6.891</v>
      </c>
    </row>
    <row r="285" spans="3:20">
      <c r="C285" s="105">
        <v>45371</v>
      </c>
      <c r="D285" s="106">
        <v>8.693</v>
      </c>
      <c r="E285" s="100">
        <v>13.942</v>
      </c>
      <c r="F285" s="100">
        <v>-38</v>
      </c>
      <c r="G285" s="100">
        <v>-19</v>
      </c>
      <c r="H285" s="100">
        <v>1</v>
      </c>
      <c r="I285" s="100">
        <v>-39</v>
      </c>
      <c r="K285" s="105">
        <v>45371</v>
      </c>
      <c r="L285" s="100">
        <v>25.392</v>
      </c>
      <c r="M285" s="106">
        <v>15.577</v>
      </c>
      <c r="N285" s="100">
        <v>63</v>
      </c>
      <c r="O285" s="100">
        <v>45</v>
      </c>
      <c r="P285" s="100">
        <v>66</v>
      </c>
      <c r="Q285" s="100">
        <v>25</v>
      </c>
      <c r="S285" s="105">
        <v>45371</v>
      </c>
      <c r="T285" s="106">
        <f t="shared" si="4"/>
        <v>-6.884</v>
      </c>
    </row>
    <row r="286" spans="3:20">
      <c r="C286" s="105">
        <v>45370</v>
      </c>
      <c r="D286" s="106">
        <v>8.461</v>
      </c>
      <c r="E286" s="100">
        <v>13.808</v>
      </c>
      <c r="F286" s="100">
        <v>-39</v>
      </c>
      <c r="G286" s="100">
        <v>-19</v>
      </c>
      <c r="H286" s="100">
        <v>1</v>
      </c>
      <c r="I286" s="100">
        <v>-39</v>
      </c>
      <c r="K286" s="105">
        <v>45370</v>
      </c>
      <c r="L286" s="100">
        <v>25.269</v>
      </c>
      <c r="M286" s="106">
        <v>15.446</v>
      </c>
      <c r="N286" s="100">
        <v>64</v>
      </c>
      <c r="O286" s="100">
        <v>45</v>
      </c>
      <c r="P286" s="100">
        <v>66</v>
      </c>
      <c r="Q286" s="100">
        <v>25</v>
      </c>
      <c r="S286" s="105">
        <v>45370</v>
      </c>
      <c r="T286" s="106">
        <f t="shared" si="4"/>
        <v>-6.985</v>
      </c>
    </row>
    <row r="287" spans="3:20">
      <c r="C287" s="105">
        <v>45369</v>
      </c>
      <c r="D287" s="106">
        <v>8.512</v>
      </c>
      <c r="E287" s="100">
        <v>13.739</v>
      </c>
      <c r="F287" s="100">
        <v>-38</v>
      </c>
      <c r="G287" s="100">
        <v>-19</v>
      </c>
      <c r="H287" s="100">
        <v>1</v>
      </c>
      <c r="I287" s="100">
        <v>-39</v>
      </c>
      <c r="K287" s="105">
        <v>45369</v>
      </c>
      <c r="L287" s="100">
        <v>25.308</v>
      </c>
      <c r="M287" s="106">
        <v>15.392</v>
      </c>
      <c r="N287" s="100">
        <v>64</v>
      </c>
      <c r="O287" s="100">
        <v>45</v>
      </c>
      <c r="P287" s="100">
        <v>66</v>
      </c>
      <c r="Q287" s="100">
        <v>25</v>
      </c>
      <c r="S287" s="105">
        <v>45369</v>
      </c>
      <c r="T287" s="106">
        <f t="shared" si="4"/>
        <v>-6.88</v>
      </c>
    </row>
    <row r="288" spans="3:20">
      <c r="C288" s="105">
        <v>45366</v>
      </c>
      <c r="D288" s="106">
        <v>8.576</v>
      </c>
      <c r="E288" s="100">
        <v>13.846</v>
      </c>
      <c r="F288" s="100">
        <v>-38</v>
      </c>
      <c r="G288" s="100">
        <v>-19</v>
      </c>
      <c r="H288" s="100">
        <v>1</v>
      </c>
      <c r="I288" s="100">
        <v>-39</v>
      </c>
      <c r="K288" s="105">
        <v>45366</v>
      </c>
      <c r="L288" s="100">
        <v>25.465</v>
      </c>
      <c r="M288" s="106">
        <v>15.506</v>
      </c>
      <c r="N288" s="100">
        <v>64</v>
      </c>
      <c r="O288" s="100">
        <v>45</v>
      </c>
      <c r="P288" s="100">
        <v>66</v>
      </c>
      <c r="Q288" s="100">
        <v>25</v>
      </c>
      <c r="S288" s="105">
        <v>45366</v>
      </c>
      <c r="T288" s="106">
        <f t="shared" si="4"/>
        <v>-6.93</v>
      </c>
    </row>
    <row r="289" spans="3:20">
      <c r="C289" s="105">
        <v>45365</v>
      </c>
      <c r="D289" s="106">
        <v>8.577</v>
      </c>
      <c r="E289" s="100">
        <v>13.873</v>
      </c>
      <c r="F289" s="100">
        <v>-38</v>
      </c>
      <c r="G289" s="100">
        <v>-19</v>
      </c>
      <c r="H289" s="100">
        <v>1</v>
      </c>
      <c r="I289" s="100">
        <v>-39</v>
      </c>
      <c r="K289" s="105">
        <v>45365</v>
      </c>
      <c r="L289" s="100">
        <v>25.333</v>
      </c>
      <c r="M289" s="106">
        <v>15.51</v>
      </c>
      <c r="N289" s="100">
        <v>63</v>
      </c>
      <c r="O289" s="100">
        <v>45</v>
      </c>
      <c r="P289" s="100">
        <v>66</v>
      </c>
      <c r="Q289" s="100">
        <v>25</v>
      </c>
      <c r="S289" s="105">
        <v>45365</v>
      </c>
      <c r="T289" s="106">
        <f t="shared" si="4"/>
        <v>-6.933</v>
      </c>
    </row>
    <row r="290" spans="3:20">
      <c r="C290" s="105">
        <v>45364</v>
      </c>
      <c r="D290" s="106">
        <v>8.678</v>
      </c>
      <c r="E290" s="100">
        <v>13.858</v>
      </c>
      <c r="F290" s="100">
        <v>-37</v>
      </c>
      <c r="G290" s="100">
        <v>-19</v>
      </c>
      <c r="H290" s="100">
        <v>1</v>
      </c>
      <c r="I290" s="100">
        <v>-39</v>
      </c>
      <c r="K290" s="105">
        <v>45364</v>
      </c>
      <c r="L290" s="100">
        <v>25.309</v>
      </c>
      <c r="M290" s="106">
        <v>15.494</v>
      </c>
      <c r="N290" s="100">
        <v>63</v>
      </c>
      <c r="O290" s="100">
        <v>45</v>
      </c>
      <c r="P290" s="100">
        <v>66</v>
      </c>
      <c r="Q290" s="100">
        <v>25</v>
      </c>
      <c r="S290" s="105">
        <v>45364</v>
      </c>
      <c r="T290" s="106">
        <f t="shared" si="4"/>
        <v>-6.816</v>
      </c>
    </row>
    <row r="291" spans="3:20">
      <c r="C291" s="105">
        <v>45363</v>
      </c>
      <c r="D291" s="106">
        <v>9.052</v>
      </c>
      <c r="E291" s="100">
        <v>13.61</v>
      </c>
      <c r="F291" s="100">
        <v>-33</v>
      </c>
      <c r="G291" s="100">
        <v>-19</v>
      </c>
      <c r="H291" s="100">
        <v>1</v>
      </c>
      <c r="I291" s="100">
        <v>-39</v>
      </c>
      <c r="K291" s="105">
        <v>45363</v>
      </c>
      <c r="L291" s="100">
        <v>25.282</v>
      </c>
      <c r="M291" s="106">
        <v>15.278</v>
      </c>
      <c r="N291" s="100">
        <v>65</v>
      </c>
      <c r="O291" s="100">
        <v>45</v>
      </c>
      <c r="P291" s="100">
        <v>66</v>
      </c>
      <c r="Q291" s="100">
        <v>25</v>
      </c>
      <c r="S291" s="105">
        <v>45363</v>
      </c>
      <c r="T291" s="106">
        <f t="shared" si="4"/>
        <v>-6.226</v>
      </c>
    </row>
    <row r="292" spans="3:20">
      <c r="C292" s="105">
        <v>45362</v>
      </c>
      <c r="D292" s="106">
        <v>8.713</v>
      </c>
      <c r="E292" s="100">
        <v>13.42</v>
      </c>
      <c r="F292" s="100">
        <v>-35</v>
      </c>
      <c r="G292" s="100">
        <v>-19</v>
      </c>
      <c r="H292" s="100">
        <v>1</v>
      </c>
      <c r="I292" s="100">
        <v>-39</v>
      </c>
      <c r="K292" s="105">
        <v>45362</v>
      </c>
      <c r="L292" s="100">
        <v>25.118</v>
      </c>
      <c r="M292" s="106">
        <v>15.091</v>
      </c>
      <c r="N292" s="100">
        <v>66</v>
      </c>
      <c r="O292" s="100">
        <v>45</v>
      </c>
      <c r="P292" s="100">
        <v>66</v>
      </c>
      <c r="Q292" s="100">
        <v>25</v>
      </c>
      <c r="S292" s="105">
        <v>45362</v>
      </c>
      <c r="T292" s="106">
        <f t="shared" si="4"/>
        <v>-6.378</v>
      </c>
    </row>
    <row r="293" spans="3:20">
      <c r="C293" s="105">
        <v>45359</v>
      </c>
      <c r="D293" s="106">
        <v>8.837</v>
      </c>
      <c r="E293" s="100">
        <v>13.441</v>
      </c>
      <c r="F293" s="100">
        <v>-34</v>
      </c>
      <c r="G293" s="100">
        <v>-19</v>
      </c>
      <c r="H293" s="100">
        <v>1</v>
      </c>
      <c r="I293" s="100">
        <v>-39</v>
      </c>
      <c r="K293" s="105">
        <v>45359</v>
      </c>
      <c r="L293" s="100">
        <v>25.103</v>
      </c>
      <c r="M293" s="106">
        <v>15.107</v>
      </c>
      <c r="N293" s="100">
        <v>66</v>
      </c>
      <c r="O293" s="100">
        <v>45</v>
      </c>
      <c r="P293" s="100">
        <v>66</v>
      </c>
      <c r="Q293" s="100">
        <v>25</v>
      </c>
      <c r="S293" s="105">
        <v>45359</v>
      </c>
      <c r="T293" s="106">
        <f t="shared" si="4"/>
        <v>-6.27</v>
      </c>
    </row>
    <row r="294" spans="3:20">
      <c r="C294" s="105">
        <v>45358</v>
      </c>
      <c r="D294" s="106">
        <v>8.842</v>
      </c>
      <c r="E294" s="100">
        <v>13.366</v>
      </c>
      <c r="F294" s="100">
        <v>-34</v>
      </c>
      <c r="G294" s="100">
        <v>-19</v>
      </c>
      <c r="H294" s="100">
        <v>1</v>
      </c>
      <c r="I294" s="100">
        <v>-39</v>
      </c>
      <c r="K294" s="105">
        <v>45358</v>
      </c>
      <c r="L294" s="100">
        <v>25.193</v>
      </c>
      <c r="M294" s="106">
        <v>15.056</v>
      </c>
      <c r="N294" s="100">
        <v>67</v>
      </c>
      <c r="O294" s="100">
        <v>45</v>
      </c>
      <c r="P294" s="100">
        <v>66</v>
      </c>
      <c r="Q294" s="100">
        <v>25</v>
      </c>
      <c r="S294" s="105">
        <v>45358</v>
      </c>
      <c r="T294" s="106">
        <f t="shared" si="4"/>
        <v>-6.214</v>
      </c>
    </row>
    <row r="295" spans="3:20">
      <c r="C295" s="105">
        <v>45357</v>
      </c>
      <c r="D295" s="106">
        <v>8.942</v>
      </c>
      <c r="E295" s="100">
        <v>13.692</v>
      </c>
      <c r="F295" s="100">
        <v>-35</v>
      </c>
      <c r="G295" s="100">
        <v>-19</v>
      </c>
      <c r="H295" s="100">
        <v>1</v>
      </c>
      <c r="I295" s="100">
        <v>-39</v>
      </c>
      <c r="K295" s="105">
        <v>45357</v>
      </c>
      <c r="L295" s="100">
        <v>25.037</v>
      </c>
      <c r="M295" s="106">
        <v>15.313</v>
      </c>
      <c r="N295" s="100">
        <v>64</v>
      </c>
      <c r="O295" s="100">
        <v>45</v>
      </c>
      <c r="P295" s="100">
        <v>66</v>
      </c>
      <c r="Q295" s="100">
        <v>25</v>
      </c>
      <c r="S295" s="105">
        <v>45357</v>
      </c>
      <c r="T295" s="106">
        <f t="shared" si="4"/>
        <v>-6.371</v>
      </c>
    </row>
    <row r="296" spans="3:20">
      <c r="C296" s="105">
        <v>45356</v>
      </c>
      <c r="D296" s="106">
        <v>8.99</v>
      </c>
      <c r="E296" s="100">
        <v>13.593</v>
      </c>
      <c r="F296" s="100">
        <v>-34</v>
      </c>
      <c r="G296" s="100">
        <v>-19</v>
      </c>
      <c r="H296" s="100">
        <v>1</v>
      </c>
      <c r="I296" s="100">
        <v>-39</v>
      </c>
      <c r="K296" s="105">
        <v>45356</v>
      </c>
      <c r="L296" s="100">
        <v>24.436</v>
      </c>
      <c r="M296" s="106">
        <v>15.142</v>
      </c>
      <c r="N296" s="100">
        <v>61</v>
      </c>
      <c r="O296" s="100">
        <v>45</v>
      </c>
      <c r="P296" s="100">
        <v>66</v>
      </c>
      <c r="Q296" s="100">
        <v>25</v>
      </c>
      <c r="S296" s="105">
        <v>45356</v>
      </c>
      <c r="T296" s="106">
        <f t="shared" si="4"/>
        <v>-6.152</v>
      </c>
    </row>
    <row r="297" spans="3:20">
      <c r="C297" s="105">
        <v>45355</v>
      </c>
      <c r="D297" s="106">
        <v>9.048</v>
      </c>
      <c r="E297" s="100">
        <v>13.64</v>
      </c>
      <c r="F297" s="100">
        <v>-34</v>
      </c>
      <c r="G297" s="100">
        <v>-19</v>
      </c>
      <c r="H297" s="100">
        <v>1</v>
      </c>
      <c r="I297" s="100">
        <v>-39</v>
      </c>
      <c r="K297" s="105">
        <v>45355</v>
      </c>
      <c r="L297" s="100">
        <v>24.547</v>
      </c>
      <c r="M297" s="106">
        <v>15.198</v>
      </c>
      <c r="N297" s="100">
        <v>62</v>
      </c>
      <c r="O297" s="100">
        <v>45</v>
      </c>
      <c r="P297" s="100">
        <v>66</v>
      </c>
      <c r="Q297" s="100">
        <v>25</v>
      </c>
      <c r="S297" s="105">
        <v>45355</v>
      </c>
      <c r="T297" s="106">
        <f t="shared" si="4"/>
        <v>-6.15</v>
      </c>
    </row>
    <row r="298" spans="3:20">
      <c r="C298" s="105">
        <v>45352</v>
      </c>
      <c r="D298" s="106">
        <v>9.185</v>
      </c>
      <c r="E298" s="100">
        <v>13.822</v>
      </c>
      <c r="F298" s="100">
        <v>-34</v>
      </c>
      <c r="G298" s="100">
        <v>-19</v>
      </c>
      <c r="H298" s="100">
        <v>1</v>
      </c>
      <c r="I298" s="100">
        <v>-39</v>
      </c>
      <c r="K298" s="105">
        <v>45352</v>
      </c>
      <c r="L298" s="100">
        <v>24.431</v>
      </c>
      <c r="M298" s="106">
        <v>15.338</v>
      </c>
      <c r="N298" s="100">
        <v>59</v>
      </c>
      <c r="O298" s="100">
        <v>45</v>
      </c>
      <c r="P298" s="100">
        <v>66</v>
      </c>
      <c r="Q298" s="100">
        <v>25</v>
      </c>
      <c r="S298" s="105">
        <v>45352</v>
      </c>
      <c r="T298" s="106">
        <f t="shared" si="4"/>
        <v>-6.153</v>
      </c>
    </row>
    <row r="299" spans="3:20">
      <c r="C299" s="105">
        <v>45351</v>
      </c>
      <c r="D299" s="106">
        <v>9.032</v>
      </c>
      <c r="E299" s="100">
        <v>13.711</v>
      </c>
      <c r="F299" s="100">
        <v>-34</v>
      </c>
      <c r="G299" s="100">
        <v>-19</v>
      </c>
      <c r="H299" s="100">
        <v>1</v>
      </c>
      <c r="I299" s="100">
        <v>-39</v>
      </c>
      <c r="K299" s="105">
        <v>45351</v>
      </c>
      <c r="L299" s="100">
        <v>24.009</v>
      </c>
      <c r="M299" s="106">
        <v>15.182</v>
      </c>
      <c r="N299" s="100">
        <v>58</v>
      </c>
      <c r="O299" s="100">
        <v>45</v>
      </c>
      <c r="P299" s="100">
        <v>66</v>
      </c>
      <c r="Q299" s="100">
        <v>25</v>
      </c>
      <c r="S299" s="105">
        <v>45351</v>
      </c>
      <c r="T299" s="106">
        <f t="shared" si="4"/>
        <v>-6.15</v>
      </c>
    </row>
    <row r="300" spans="3:20">
      <c r="C300" s="105">
        <v>45350</v>
      </c>
      <c r="D300" s="106">
        <v>9.017</v>
      </c>
      <c r="E300" s="100">
        <v>13.763</v>
      </c>
      <c r="F300" s="100">
        <v>-34</v>
      </c>
      <c r="G300" s="100">
        <v>-19</v>
      </c>
      <c r="H300" s="100">
        <v>1</v>
      </c>
      <c r="I300" s="100">
        <v>-39</v>
      </c>
      <c r="K300" s="105">
        <v>45350</v>
      </c>
      <c r="L300" s="100">
        <v>23.994</v>
      </c>
      <c r="M300" s="106">
        <v>15.225</v>
      </c>
      <c r="N300" s="100">
        <v>58</v>
      </c>
      <c r="O300" s="100">
        <v>45</v>
      </c>
      <c r="P300" s="100">
        <v>66</v>
      </c>
      <c r="Q300" s="100">
        <v>25</v>
      </c>
      <c r="S300" s="105">
        <v>45350</v>
      </c>
      <c r="T300" s="106">
        <f t="shared" si="4"/>
        <v>-6.208</v>
      </c>
    </row>
    <row r="301" spans="3:20">
      <c r="C301" s="105">
        <v>45349</v>
      </c>
      <c r="D301" s="106">
        <v>8.808</v>
      </c>
      <c r="E301" s="100">
        <v>13.769</v>
      </c>
      <c r="F301" s="100">
        <v>-36</v>
      </c>
      <c r="G301" s="100">
        <v>-19</v>
      </c>
      <c r="H301" s="100">
        <v>1</v>
      </c>
      <c r="I301" s="100">
        <v>-39</v>
      </c>
      <c r="K301" s="105">
        <v>45349</v>
      </c>
      <c r="L301" s="100">
        <v>24.066</v>
      </c>
      <c r="M301" s="106">
        <v>15.24</v>
      </c>
      <c r="N301" s="100">
        <v>58</v>
      </c>
      <c r="O301" s="100">
        <v>45</v>
      </c>
      <c r="P301" s="100">
        <v>66</v>
      </c>
      <c r="Q301" s="100">
        <v>25</v>
      </c>
      <c r="S301" s="105">
        <v>45349</v>
      </c>
      <c r="T301" s="106">
        <f t="shared" si="4"/>
        <v>-6.432</v>
      </c>
    </row>
    <row r="302" spans="3:20">
      <c r="C302" s="105">
        <v>45348</v>
      </c>
      <c r="D302" s="106">
        <v>8.846</v>
      </c>
      <c r="E302" s="100">
        <v>13.842</v>
      </c>
      <c r="F302" s="100">
        <v>-36</v>
      </c>
      <c r="G302" s="100">
        <v>-19</v>
      </c>
      <c r="H302" s="100">
        <v>1</v>
      </c>
      <c r="I302" s="100">
        <v>-39</v>
      </c>
      <c r="K302" s="105">
        <v>45348</v>
      </c>
      <c r="L302" s="100">
        <v>23.987</v>
      </c>
      <c r="M302" s="106">
        <v>15.291</v>
      </c>
      <c r="N302" s="100">
        <v>57</v>
      </c>
      <c r="O302" s="100">
        <v>45</v>
      </c>
      <c r="P302" s="100">
        <v>66</v>
      </c>
      <c r="Q302" s="100">
        <v>25</v>
      </c>
      <c r="S302" s="105">
        <v>45348</v>
      </c>
      <c r="T302" s="106">
        <f t="shared" si="4"/>
        <v>-6.445</v>
      </c>
    </row>
    <row r="303" spans="3:20">
      <c r="C303" s="105">
        <v>45345</v>
      </c>
      <c r="D303" s="106">
        <v>8.931</v>
      </c>
      <c r="E303" s="100">
        <v>13.822</v>
      </c>
      <c r="F303" s="100">
        <v>-35</v>
      </c>
      <c r="G303" s="100">
        <v>-19</v>
      </c>
      <c r="H303" s="100">
        <v>1</v>
      </c>
      <c r="I303" s="100">
        <v>-39</v>
      </c>
      <c r="K303" s="105">
        <v>45345</v>
      </c>
      <c r="L303" s="100">
        <v>24.08</v>
      </c>
      <c r="M303" s="106">
        <v>15.288</v>
      </c>
      <c r="N303" s="100">
        <v>58</v>
      </c>
      <c r="O303" s="100">
        <v>45</v>
      </c>
      <c r="P303" s="100">
        <v>66</v>
      </c>
      <c r="Q303" s="100">
        <v>25</v>
      </c>
      <c r="S303" s="105">
        <v>45345</v>
      </c>
      <c r="T303" s="106">
        <f t="shared" si="4"/>
        <v>-6.357</v>
      </c>
    </row>
    <row r="304" spans="3:20">
      <c r="C304" s="105">
        <v>45344</v>
      </c>
      <c r="D304" s="106">
        <v>8.78</v>
      </c>
      <c r="E304" s="100">
        <v>13.791</v>
      </c>
      <c r="F304" s="100">
        <v>-36</v>
      </c>
      <c r="G304" s="100">
        <v>-19</v>
      </c>
      <c r="H304" s="100">
        <v>1</v>
      </c>
      <c r="I304" s="100">
        <v>-39</v>
      </c>
      <c r="K304" s="105">
        <v>45344</v>
      </c>
      <c r="L304" s="100">
        <v>23.847</v>
      </c>
      <c r="M304" s="106">
        <v>15.228</v>
      </c>
      <c r="N304" s="100">
        <v>57</v>
      </c>
      <c r="O304" s="100">
        <v>45</v>
      </c>
      <c r="P304" s="100">
        <v>66</v>
      </c>
      <c r="Q304" s="100">
        <v>25</v>
      </c>
      <c r="S304" s="105">
        <v>45344</v>
      </c>
      <c r="T304" s="106">
        <f t="shared" si="4"/>
        <v>-6.448</v>
      </c>
    </row>
    <row r="305" spans="3:20">
      <c r="C305" s="105">
        <v>45343</v>
      </c>
      <c r="D305" s="106">
        <v>8.703</v>
      </c>
      <c r="E305" s="100">
        <v>13.832</v>
      </c>
      <c r="F305" s="100">
        <v>-37</v>
      </c>
      <c r="G305" s="100">
        <v>-19</v>
      </c>
      <c r="H305" s="100">
        <v>1</v>
      </c>
      <c r="I305" s="100">
        <v>-39</v>
      </c>
      <c r="K305" s="105">
        <v>45343</v>
      </c>
      <c r="L305" s="100">
        <v>23.676</v>
      </c>
      <c r="M305" s="106">
        <v>15.238</v>
      </c>
      <c r="N305" s="100">
        <v>55</v>
      </c>
      <c r="O305" s="100">
        <v>45</v>
      </c>
      <c r="P305" s="100">
        <v>66</v>
      </c>
      <c r="Q305" s="100">
        <v>25</v>
      </c>
      <c r="S305" s="105">
        <v>45343</v>
      </c>
      <c r="T305" s="106">
        <f t="shared" si="4"/>
        <v>-6.535</v>
      </c>
    </row>
    <row r="306" spans="3:20">
      <c r="C306" s="105">
        <v>45342</v>
      </c>
      <c r="D306" s="106">
        <v>8.689</v>
      </c>
      <c r="E306" s="100">
        <v>13.687</v>
      </c>
      <c r="F306" s="100">
        <v>-37</v>
      </c>
      <c r="G306" s="100">
        <v>-19</v>
      </c>
      <c r="H306" s="100">
        <v>1</v>
      </c>
      <c r="I306" s="100">
        <v>-39</v>
      </c>
      <c r="K306" s="105">
        <v>45342</v>
      </c>
      <c r="L306" s="100">
        <v>23.805</v>
      </c>
      <c r="M306" s="106">
        <v>15.133</v>
      </c>
      <c r="N306" s="100">
        <v>57</v>
      </c>
      <c r="O306" s="100">
        <v>45</v>
      </c>
      <c r="P306" s="100">
        <v>66</v>
      </c>
      <c r="Q306" s="100">
        <v>25</v>
      </c>
      <c r="S306" s="105">
        <v>45342</v>
      </c>
      <c r="T306" s="106">
        <f t="shared" si="4"/>
        <v>-6.444</v>
      </c>
    </row>
    <row r="307" spans="3:20">
      <c r="C307" s="105">
        <v>45341</v>
      </c>
      <c r="D307" s="106">
        <v>8.765</v>
      </c>
      <c r="E307" s="100">
        <v>13.681</v>
      </c>
      <c r="F307" s="100">
        <v>-36</v>
      </c>
      <c r="G307" s="100">
        <v>-19</v>
      </c>
      <c r="H307" s="100">
        <v>1</v>
      </c>
      <c r="I307" s="100">
        <v>-39</v>
      </c>
      <c r="K307" s="105">
        <v>45341</v>
      </c>
      <c r="L307" s="100">
        <v>23.871</v>
      </c>
      <c r="M307" s="106">
        <v>15.137</v>
      </c>
      <c r="N307" s="100">
        <v>58</v>
      </c>
      <c r="O307" s="100">
        <v>45</v>
      </c>
      <c r="P307" s="100">
        <v>66</v>
      </c>
      <c r="Q307" s="100">
        <v>25</v>
      </c>
      <c r="S307" s="105">
        <v>45341</v>
      </c>
      <c r="T307" s="106">
        <f t="shared" si="4"/>
        <v>-6.372</v>
      </c>
    </row>
    <row r="308" spans="3:20">
      <c r="C308" s="105">
        <v>45338</v>
      </c>
      <c r="D308" s="106">
        <v>8.703</v>
      </c>
      <c r="E308" s="100">
        <v>13.675</v>
      </c>
      <c r="F308" s="100">
        <v>-36</v>
      </c>
      <c r="G308" s="100">
        <v>-19</v>
      </c>
      <c r="H308" s="100">
        <v>1</v>
      </c>
      <c r="I308" s="100">
        <v>-39</v>
      </c>
      <c r="K308" s="105">
        <v>45338</v>
      </c>
      <c r="L308" s="100">
        <v>23.969</v>
      </c>
      <c r="M308" s="106">
        <v>15.146</v>
      </c>
      <c r="N308" s="100">
        <v>58</v>
      </c>
      <c r="O308" s="100">
        <v>45</v>
      </c>
      <c r="P308" s="100">
        <v>66</v>
      </c>
      <c r="Q308" s="100">
        <v>25</v>
      </c>
      <c r="S308" s="105">
        <v>45338</v>
      </c>
      <c r="T308" s="106">
        <f t="shared" si="4"/>
        <v>-6.443</v>
      </c>
    </row>
    <row r="309" spans="3:20">
      <c r="C309" s="105">
        <v>45337</v>
      </c>
      <c r="D309" s="106">
        <v>8.528</v>
      </c>
      <c r="E309" s="100">
        <v>13.592</v>
      </c>
      <c r="F309" s="100">
        <v>-37</v>
      </c>
      <c r="G309" s="100">
        <v>-19</v>
      </c>
      <c r="H309" s="100">
        <v>1</v>
      </c>
      <c r="I309" s="100">
        <v>-39</v>
      </c>
      <c r="K309" s="105">
        <v>45337</v>
      </c>
      <c r="L309" s="100">
        <v>24.014</v>
      </c>
      <c r="M309" s="106">
        <v>15.081</v>
      </c>
      <c r="N309" s="100">
        <v>59</v>
      </c>
      <c r="O309" s="100">
        <v>45</v>
      </c>
      <c r="P309" s="100">
        <v>66</v>
      </c>
      <c r="Q309" s="100">
        <v>25</v>
      </c>
      <c r="S309" s="105">
        <v>45337</v>
      </c>
      <c r="T309" s="106">
        <f t="shared" si="4"/>
        <v>-6.553</v>
      </c>
    </row>
    <row r="310" spans="3:20">
      <c r="C310" s="105">
        <v>45336</v>
      </c>
      <c r="D310" s="106">
        <v>8.404</v>
      </c>
      <c r="E310" s="100">
        <v>13.527</v>
      </c>
      <c r="F310" s="100">
        <v>-38</v>
      </c>
      <c r="G310" s="100">
        <v>-19</v>
      </c>
      <c r="H310" s="100">
        <v>1</v>
      </c>
      <c r="I310" s="100">
        <v>-39</v>
      </c>
      <c r="K310" s="105">
        <v>45336</v>
      </c>
      <c r="L310" s="100">
        <v>23.9</v>
      </c>
      <c r="M310" s="106">
        <v>15.009</v>
      </c>
      <c r="N310" s="100">
        <v>59</v>
      </c>
      <c r="O310" s="100">
        <v>45</v>
      </c>
      <c r="P310" s="100">
        <v>66</v>
      </c>
      <c r="Q310" s="100">
        <v>25</v>
      </c>
      <c r="S310" s="105">
        <v>45336</v>
      </c>
      <c r="T310" s="106">
        <f t="shared" si="4"/>
        <v>-6.605</v>
      </c>
    </row>
    <row r="311" spans="3:20">
      <c r="C311" s="105">
        <v>45335</v>
      </c>
      <c r="D311" s="106">
        <v>8.192</v>
      </c>
      <c r="E311" s="100">
        <v>13.315</v>
      </c>
      <c r="F311" s="100">
        <v>-38</v>
      </c>
      <c r="G311" s="100">
        <v>-19</v>
      </c>
      <c r="H311" s="100">
        <v>1</v>
      </c>
      <c r="I311" s="100">
        <v>-39</v>
      </c>
      <c r="K311" s="105">
        <v>45335</v>
      </c>
      <c r="L311" s="100">
        <v>23.81</v>
      </c>
      <c r="M311" s="106">
        <v>14.814</v>
      </c>
      <c r="N311" s="100">
        <v>61</v>
      </c>
      <c r="O311" s="100">
        <v>45</v>
      </c>
      <c r="P311" s="100">
        <v>66</v>
      </c>
      <c r="Q311" s="100">
        <v>25</v>
      </c>
      <c r="S311" s="105">
        <v>45335</v>
      </c>
      <c r="T311" s="106">
        <f t="shared" si="4"/>
        <v>-6.622</v>
      </c>
    </row>
    <row r="312" spans="3:20">
      <c r="C312" s="105">
        <v>45334</v>
      </c>
      <c r="D312" s="106">
        <v>8.213</v>
      </c>
      <c r="E312" s="100">
        <v>13.483</v>
      </c>
      <c r="F312" s="100">
        <v>-39</v>
      </c>
      <c r="G312" s="100">
        <v>-19</v>
      </c>
      <c r="H312" s="100">
        <v>1</v>
      </c>
      <c r="I312" s="100">
        <v>-39</v>
      </c>
      <c r="K312" s="105">
        <v>45334</v>
      </c>
      <c r="L312" s="100">
        <v>23.984</v>
      </c>
      <c r="M312" s="106">
        <v>14.983</v>
      </c>
      <c r="N312" s="100">
        <v>60</v>
      </c>
      <c r="O312" s="100">
        <v>45</v>
      </c>
      <c r="P312" s="100">
        <v>66</v>
      </c>
      <c r="Q312" s="100">
        <v>25</v>
      </c>
      <c r="S312" s="105">
        <v>45334</v>
      </c>
      <c r="T312" s="106">
        <f t="shared" si="4"/>
        <v>-6.77</v>
      </c>
    </row>
    <row r="313" spans="3:20">
      <c r="C313" s="105">
        <v>45331</v>
      </c>
      <c r="D313" s="106">
        <v>8.038</v>
      </c>
      <c r="E313" s="100">
        <v>13.256</v>
      </c>
      <c r="F313" s="100">
        <v>-39</v>
      </c>
      <c r="G313" s="100">
        <v>-19</v>
      </c>
      <c r="H313" s="100">
        <v>1</v>
      </c>
      <c r="I313" s="100">
        <v>-39</v>
      </c>
      <c r="K313" s="105">
        <v>45331</v>
      </c>
      <c r="L313" s="100">
        <v>23.889</v>
      </c>
      <c r="M313" s="106">
        <v>14.775</v>
      </c>
      <c r="N313" s="100">
        <v>62</v>
      </c>
      <c r="O313" s="100">
        <v>45</v>
      </c>
      <c r="P313" s="100">
        <v>66</v>
      </c>
      <c r="Q313" s="100">
        <v>25</v>
      </c>
      <c r="S313" s="105">
        <v>45331</v>
      </c>
      <c r="T313" s="106">
        <f t="shared" si="4"/>
        <v>-6.737</v>
      </c>
    </row>
    <row r="314" spans="3:20">
      <c r="C314" s="105">
        <v>45330</v>
      </c>
      <c r="D314" s="106">
        <v>7.953</v>
      </c>
      <c r="E314" s="100">
        <v>13.184</v>
      </c>
      <c r="F314" s="100">
        <v>-40</v>
      </c>
      <c r="G314" s="100">
        <v>-19</v>
      </c>
      <c r="H314" s="100">
        <v>1</v>
      </c>
      <c r="I314" s="100">
        <v>-39</v>
      </c>
      <c r="K314" s="105">
        <v>45330</v>
      </c>
      <c r="L314" s="100">
        <v>23.786</v>
      </c>
      <c r="M314" s="106">
        <v>14.699</v>
      </c>
      <c r="N314" s="100">
        <v>62</v>
      </c>
      <c r="O314" s="100">
        <v>45</v>
      </c>
      <c r="P314" s="100">
        <v>66</v>
      </c>
      <c r="Q314" s="100">
        <v>25</v>
      </c>
      <c r="S314" s="105">
        <v>45330</v>
      </c>
      <c r="T314" s="106">
        <f t="shared" si="4"/>
        <v>-6.746</v>
      </c>
    </row>
    <row r="315" spans="3:20">
      <c r="C315" s="105">
        <v>45329</v>
      </c>
      <c r="D315" s="106">
        <v>8.17</v>
      </c>
      <c r="E315" s="100">
        <v>13.178</v>
      </c>
      <c r="F315" s="100">
        <v>-38</v>
      </c>
      <c r="G315" s="100">
        <v>-19</v>
      </c>
      <c r="H315" s="100">
        <v>1</v>
      </c>
      <c r="I315" s="100">
        <v>-39</v>
      </c>
      <c r="K315" s="105">
        <v>45329</v>
      </c>
      <c r="L315" s="100">
        <v>23.977</v>
      </c>
      <c r="M315" s="106">
        <v>14.721</v>
      </c>
      <c r="N315" s="100">
        <v>63</v>
      </c>
      <c r="O315" s="100">
        <v>45</v>
      </c>
      <c r="P315" s="100">
        <v>66</v>
      </c>
      <c r="Q315" s="100">
        <v>25</v>
      </c>
      <c r="S315" s="105">
        <v>45329</v>
      </c>
      <c r="T315" s="106">
        <f t="shared" si="4"/>
        <v>-6.551</v>
      </c>
    </row>
    <row r="316" spans="3:20">
      <c r="C316" s="105">
        <v>45328</v>
      </c>
      <c r="D316" s="106">
        <v>8.434</v>
      </c>
      <c r="E316" s="100">
        <v>13.286</v>
      </c>
      <c r="F316" s="100">
        <v>-37</v>
      </c>
      <c r="G316" s="100">
        <v>-19</v>
      </c>
      <c r="H316" s="100">
        <v>1</v>
      </c>
      <c r="I316" s="100">
        <v>-39</v>
      </c>
      <c r="K316" s="105">
        <v>45328</v>
      </c>
      <c r="L316" s="100">
        <v>23.798</v>
      </c>
      <c r="M316" s="106">
        <v>14.787</v>
      </c>
      <c r="N316" s="100">
        <v>61</v>
      </c>
      <c r="O316" s="100">
        <v>45</v>
      </c>
      <c r="P316" s="100">
        <v>66</v>
      </c>
      <c r="Q316" s="100">
        <v>25</v>
      </c>
      <c r="S316" s="105">
        <v>45328</v>
      </c>
      <c r="T316" s="106">
        <f t="shared" si="4"/>
        <v>-6.353</v>
      </c>
    </row>
    <row r="317" spans="3:20">
      <c r="C317" s="105">
        <v>45327</v>
      </c>
      <c r="D317" s="106">
        <v>8.157</v>
      </c>
      <c r="E317" s="100">
        <v>13.117</v>
      </c>
      <c r="F317" s="100">
        <v>-38</v>
      </c>
      <c r="G317" s="100">
        <v>-19</v>
      </c>
      <c r="H317" s="100">
        <v>1</v>
      </c>
      <c r="I317" s="100">
        <v>-39</v>
      </c>
      <c r="K317" s="105">
        <v>45327</v>
      </c>
      <c r="L317" s="100">
        <v>23.821</v>
      </c>
      <c r="M317" s="106">
        <v>14.646</v>
      </c>
      <c r="N317" s="100">
        <v>63</v>
      </c>
      <c r="O317" s="100">
        <v>45</v>
      </c>
      <c r="P317" s="100">
        <v>66</v>
      </c>
      <c r="Q317" s="100">
        <v>25</v>
      </c>
      <c r="S317" s="105">
        <v>45327</v>
      </c>
      <c r="T317" s="106">
        <f t="shared" si="4"/>
        <v>-6.489</v>
      </c>
    </row>
    <row r="318" spans="3:20">
      <c r="C318" s="105">
        <v>45324</v>
      </c>
      <c r="D318" s="106">
        <v>8.626</v>
      </c>
      <c r="E318" s="100">
        <v>13.415</v>
      </c>
      <c r="F318" s="100">
        <v>-36</v>
      </c>
      <c r="G318" s="100">
        <v>-19</v>
      </c>
      <c r="H318" s="100">
        <v>1</v>
      </c>
      <c r="I318" s="100">
        <v>-39</v>
      </c>
      <c r="K318" s="105">
        <v>45324</v>
      </c>
      <c r="L318" s="100">
        <v>23.991</v>
      </c>
      <c r="M318" s="106">
        <v>14.926</v>
      </c>
      <c r="N318" s="100">
        <v>61</v>
      </c>
      <c r="O318" s="100">
        <v>45</v>
      </c>
      <c r="P318" s="100">
        <v>66</v>
      </c>
      <c r="Q318" s="100">
        <v>25</v>
      </c>
      <c r="S318" s="105">
        <v>45324</v>
      </c>
      <c r="T318" s="106">
        <f t="shared" si="4"/>
        <v>-6.3</v>
      </c>
    </row>
    <row r="319" spans="3:20">
      <c r="C319" s="105">
        <v>45323</v>
      </c>
      <c r="D319" s="106">
        <v>8.775</v>
      </c>
      <c r="E319" s="100">
        <v>13.402</v>
      </c>
      <c r="F319" s="100">
        <v>-35</v>
      </c>
      <c r="G319" s="100">
        <v>-19</v>
      </c>
      <c r="H319" s="100">
        <v>1</v>
      </c>
      <c r="I319" s="100">
        <v>-39</v>
      </c>
      <c r="K319" s="105">
        <v>45323</v>
      </c>
      <c r="L319" s="100">
        <v>24.095</v>
      </c>
      <c r="M319" s="106">
        <v>14.93</v>
      </c>
      <c r="N319" s="100">
        <v>61</v>
      </c>
      <c r="O319" s="100">
        <v>45</v>
      </c>
      <c r="P319" s="100">
        <v>66</v>
      </c>
      <c r="Q319" s="100">
        <v>25</v>
      </c>
      <c r="S319" s="105">
        <v>45323</v>
      </c>
      <c r="T319" s="106">
        <f t="shared" si="4"/>
        <v>-6.155</v>
      </c>
    </row>
    <row r="320" spans="3:20">
      <c r="C320" s="105">
        <v>45322</v>
      </c>
      <c r="D320" s="106">
        <v>8.935</v>
      </c>
      <c r="E320" s="100">
        <v>13.548</v>
      </c>
      <c r="F320" s="100">
        <v>-34</v>
      </c>
      <c r="G320" s="100">
        <v>-19</v>
      </c>
      <c r="H320" s="100">
        <v>1</v>
      </c>
      <c r="I320" s="100">
        <v>-39</v>
      </c>
      <c r="K320" s="105">
        <v>45322</v>
      </c>
      <c r="L320" s="100">
        <v>24.158</v>
      </c>
      <c r="M320" s="106">
        <v>15.063</v>
      </c>
      <c r="N320" s="100">
        <v>60</v>
      </c>
      <c r="O320" s="100">
        <v>45</v>
      </c>
      <c r="P320" s="100">
        <v>66</v>
      </c>
      <c r="Q320" s="100">
        <v>25</v>
      </c>
      <c r="S320" s="105">
        <v>45322</v>
      </c>
      <c r="T320" s="106">
        <f t="shared" si="4"/>
        <v>-6.128</v>
      </c>
    </row>
    <row r="321" spans="3:20">
      <c r="C321" s="105">
        <v>45321</v>
      </c>
      <c r="D321" s="106">
        <v>8.958</v>
      </c>
      <c r="E321" s="100">
        <v>14.054</v>
      </c>
      <c r="F321" s="100">
        <v>-36</v>
      </c>
      <c r="G321" s="100">
        <v>-19</v>
      </c>
      <c r="H321" s="100">
        <v>1</v>
      </c>
      <c r="I321" s="100">
        <v>-39</v>
      </c>
      <c r="K321" s="105">
        <v>45321</v>
      </c>
      <c r="L321" s="100">
        <v>24.333</v>
      </c>
      <c r="M321" s="106">
        <v>15.522</v>
      </c>
      <c r="N321" s="100">
        <v>57</v>
      </c>
      <c r="O321" s="100">
        <v>45</v>
      </c>
      <c r="P321" s="100">
        <v>66</v>
      </c>
      <c r="Q321" s="100">
        <v>25</v>
      </c>
      <c r="S321" s="105">
        <v>45321</v>
      </c>
      <c r="T321" s="106">
        <f t="shared" si="4"/>
        <v>-6.564</v>
      </c>
    </row>
    <row r="322" spans="3:20">
      <c r="C322" s="105">
        <v>45320</v>
      </c>
      <c r="D322" s="106">
        <v>8.89</v>
      </c>
      <c r="E322" s="100">
        <v>13.868</v>
      </c>
      <c r="F322" s="100">
        <v>-36</v>
      </c>
      <c r="G322" s="100">
        <v>-19</v>
      </c>
      <c r="H322" s="100">
        <v>1</v>
      </c>
      <c r="I322" s="100">
        <v>-39</v>
      </c>
      <c r="K322" s="105">
        <v>45320</v>
      </c>
      <c r="L322" s="100">
        <v>23.997</v>
      </c>
      <c r="M322" s="106">
        <v>15.315</v>
      </c>
      <c r="N322" s="100">
        <v>57</v>
      </c>
      <c r="O322" s="100">
        <v>45</v>
      </c>
      <c r="P322" s="100">
        <v>66</v>
      </c>
      <c r="Q322" s="100">
        <v>25</v>
      </c>
      <c r="S322" s="105">
        <v>45320</v>
      </c>
      <c r="T322" s="106">
        <f t="shared" si="4"/>
        <v>-6.425</v>
      </c>
    </row>
    <row r="323" spans="3:20">
      <c r="C323" s="105">
        <v>45317</v>
      </c>
      <c r="D323" s="106">
        <v>8.867</v>
      </c>
      <c r="E323" s="100">
        <v>13.886</v>
      </c>
      <c r="F323" s="100">
        <v>-36</v>
      </c>
      <c r="G323" s="100">
        <v>-19</v>
      </c>
      <c r="H323" s="100">
        <v>1</v>
      </c>
      <c r="I323" s="100">
        <v>-39</v>
      </c>
      <c r="K323" s="105">
        <v>45317</v>
      </c>
      <c r="L323" s="100">
        <v>24.425</v>
      </c>
      <c r="M323" s="106">
        <v>15.391</v>
      </c>
      <c r="N323" s="100">
        <v>59</v>
      </c>
      <c r="O323" s="100">
        <v>45</v>
      </c>
      <c r="P323" s="100">
        <v>66</v>
      </c>
      <c r="Q323" s="100">
        <v>25</v>
      </c>
      <c r="S323" s="105">
        <v>45317</v>
      </c>
      <c r="T323" s="106">
        <f t="shared" si="4"/>
        <v>-6.524</v>
      </c>
    </row>
    <row r="324" spans="3:20">
      <c r="C324" s="105">
        <v>45316</v>
      </c>
      <c r="D324" s="106">
        <v>8.773</v>
      </c>
      <c r="E324" s="100">
        <v>13.818</v>
      </c>
      <c r="F324" s="100">
        <v>-37</v>
      </c>
      <c r="G324" s="100">
        <v>-19</v>
      </c>
      <c r="H324" s="100">
        <v>1</v>
      </c>
      <c r="I324" s="100">
        <v>-39</v>
      </c>
      <c r="K324" s="105">
        <v>45316</v>
      </c>
      <c r="L324" s="100">
        <v>24.469</v>
      </c>
      <c r="M324" s="106">
        <v>15.34</v>
      </c>
      <c r="N324" s="100">
        <v>60</v>
      </c>
      <c r="O324" s="100">
        <v>45</v>
      </c>
      <c r="P324" s="100">
        <v>66</v>
      </c>
      <c r="Q324" s="100">
        <v>25</v>
      </c>
      <c r="S324" s="105">
        <v>45316</v>
      </c>
      <c r="T324" s="106">
        <f t="shared" si="4"/>
        <v>-6.567</v>
      </c>
    </row>
    <row r="325" spans="3:20">
      <c r="C325" s="105">
        <v>45315</v>
      </c>
      <c r="D325" s="106">
        <v>8.802</v>
      </c>
      <c r="E325" s="100">
        <v>13.73</v>
      </c>
      <c r="F325" s="100">
        <v>-36</v>
      </c>
      <c r="G325" s="100">
        <v>-19</v>
      </c>
      <c r="H325" s="100">
        <v>1</v>
      </c>
      <c r="I325" s="100">
        <v>-39</v>
      </c>
      <c r="K325" s="105">
        <v>45315</v>
      </c>
      <c r="L325" s="100">
        <v>24.388</v>
      </c>
      <c r="M325" s="106">
        <v>15.253</v>
      </c>
      <c r="N325" s="100">
        <v>60</v>
      </c>
      <c r="O325" s="100">
        <v>45</v>
      </c>
      <c r="P325" s="100">
        <v>66</v>
      </c>
      <c r="Q325" s="100">
        <v>25</v>
      </c>
      <c r="S325" s="105">
        <v>45315</v>
      </c>
      <c r="T325" s="106">
        <f t="shared" si="4"/>
        <v>-6.451</v>
      </c>
    </row>
    <row r="326" spans="3:20">
      <c r="C326" s="105">
        <v>45314</v>
      </c>
      <c r="D326" s="106">
        <v>8.734</v>
      </c>
      <c r="E326" s="100">
        <v>13.6</v>
      </c>
      <c r="F326" s="100">
        <v>-36</v>
      </c>
      <c r="G326" s="100">
        <v>-19</v>
      </c>
      <c r="H326" s="100">
        <v>1</v>
      </c>
      <c r="I326" s="100">
        <v>-39</v>
      </c>
      <c r="K326" s="105">
        <v>45314</v>
      </c>
      <c r="L326" s="100">
        <v>24.577</v>
      </c>
      <c r="M326" s="106">
        <v>15.168</v>
      </c>
      <c r="N326" s="100">
        <v>62</v>
      </c>
      <c r="O326" s="100">
        <v>45</v>
      </c>
      <c r="P326" s="100">
        <v>66</v>
      </c>
      <c r="Q326" s="100">
        <v>25</v>
      </c>
      <c r="S326" s="105">
        <v>45314</v>
      </c>
      <c r="T326" s="106">
        <f t="shared" si="4"/>
        <v>-6.434</v>
      </c>
    </row>
    <row r="327" spans="3:20">
      <c r="C327" s="105">
        <v>45313</v>
      </c>
      <c r="D327" s="106">
        <v>8.647</v>
      </c>
      <c r="E327" s="100">
        <v>13.607</v>
      </c>
      <c r="F327" s="100">
        <v>-36</v>
      </c>
      <c r="G327" s="100">
        <v>-19</v>
      </c>
      <c r="H327" s="100">
        <v>1</v>
      </c>
      <c r="I327" s="100">
        <v>-39</v>
      </c>
      <c r="K327" s="105">
        <v>45313</v>
      </c>
      <c r="L327" s="100">
        <v>24.778</v>
      </c>
      <c r="M327" s="106">
        <v>15.203</v>
      </c>
      <c r="N327" s="100">
        <v>63</v>
      </c>
      <c r="O327" s="100">
        <v>45</v>
      </c>
      <c r="P327" s="100">
        <v>66</v>
      </c>
      <c r="Q327" s="100">
        <v>25</v>
      </c>
      <c r="S327" s="105">
        <v>45313</v>
      </c>
      <c r="T327" s="106">
        <f t="shared" si="4"/>
        <v>-6.556</v>
      </c>
    </row>
    <row r="328" spans="3:20">
      <c r="C328" s="105">
        <v>45310</v>
      </c>
      <c r="D328" s="106">
        <v>8.39</v>
      </c>
      <c r="E328" s="100">
        <v>13.535</v>
      </c>
      <c r="F328" s="100">
        <v>-38</v>
      </c>
      <c r="G328" s="100">
        <v>-19</v>
      </c>
      <c r="H328" s="100">
        <v>1</v>
      </c>
      <c r="I328" s="100">
        <v>-39</v>
      </c>
      <c r="K328" s="105">
        <v>45310</v>
      </c>
      <c r="L328" s="100">
        <v>24.635</v>
      </c>
      <c r="M328" s="106">
        <v>15.121</v>
      </c>
      <c r="N328" s="100">
        <v>63</v>
      </c>
      <c r="O328" s="100">
        <v>45</v>
      </c>
      <c r="P328" s="100">
        <v>66</v>
      </c>
      <c r="Q328" s="100">
        <v>25</v>
      </c>
      <c r="S328" s="105">
        <v>45310</v>
      </c>
      <c r="T328" s="106">
        <f t="shared" si="4"/>
        <v>-6.731</v>
      </c>
    </row>
    <row r="329" spans="3:20">
      <c r="C329" s="105">
        <v>45309</v>
      </c>
      <c r="D329" s="106">
        <v>8.167</v>
      </c>
      <c r="E329" s="100">
        <v>13.568</v>
      </c>
      <c r="F329" s="100">
        <v>-40</v>
      </c>
      <c r="G329" s="100">
        <v>-19</v>
      </c>
      <c r="H329" s="100">
        <v>1</v>
      </c>
      <c r="I329" s="100">
        <v>-39</v>
      </c>
      <c r="K329" s="105">
        <v>45309</v>
      </c>
      <c r="L329" s="100">
        <v>24.668</v>
      </c>
      <c r="M329" s="106">
        <v>15.154</v>
      </c>
      <c r="N329" s="100">
        <v>63</v>
      </c>
      <c r="O329" s="100">
        <v>45</v>
      </c>
      <c r="P329" s="100">
        <v>66</v>
      </c>
      <c r="Q329" s="100">
        <v>25</v>
      </c>
      <c r="S329" s="105">
        <v>45309</v>
      </c>
      <c r="T329" s="106">
        <f t="shared" si="4"/>
        <v>-6.987</v>
      </c>
    </row>
    <row r="330" spans="3:20">
      <c r="C330" s="105">
        <v>45308</v>
      </c>
      <c r="D330" s="106">
        <v>8.034</v>
      </c>
      <c r="E330" s="100">
        <v>13.506</v>
      </c>
      <c r="F330" s="100">
        <v>-41</v>
      </c>
      <c r="G330" s="100">
        <v>-19</v>
      </c>
      <c r="H330" s="100">
        <v>1</v>
      </c>
      <c r="I330" s="100">
        <v>-39</v>
      </c>
      <c r="K330" s="105">
        <v>45308</v>
      </c>
      <c r="L330" s="100">
        <v>24.636</v>
      </c>
      <c r="M330" s="106">
        <v>15.096</v>
      </c>
      <c r="N330" s="100">
        <v>63</v>
      </c>
      <c r="O330" s="100">
        <v>45</v>
      </c>
      <c r="P330" s="100">
        <v>66</v>
      </c>
      <c r="Q330" s="100">
        <v>25</v>
      </c>
      <c r="S330" s="105">
        <v>45308</v>
      </c>
      <c r="T330" s="106">
        <f t="shared" si="4"/>
        <v>-7.062</v>
      </c>
    </row>
    <row r="331" spans="3:20">
      <c r="C331" s="105">
        <v>45307</v>
      </c>
      <c r="D331" s="106">
        <v>7.872</v>
      </c>
      <c r="E331" s="100">
        <v>13.774</v>
      </c>
      <c r="F331" s="100">
        <v>-43</v>
      </c>
      <c r="G331" s="100">
        <v>-19</v>
      </c>
      <c r="H331" s="100">
        <v>1</v>
      </c>
      <c r="I331" s="100">
        <v>-39</v>
      </c>
      <c r="K331" s="105">
        <v>45307</v>
      </c>
      <c r="L331" s="100">
        <v>24.842</v>
      </c>
      <c r="M331" s="106">
        <v>15.355</v>
      </c>
      <c r="N331" s="100">
        <v>62</v>
      </c>
      <c r="O331" s="100">
        <v>45</v>
      </c>
      <c r="P331" s="100">
        <v>66</v>
      </c>
      <c r="Q331" s="100">
        <v>25</v>
      </c>
      <c r="S331" s="105">
        <v>45307</v>
      </c>
      <c r="T331" s="106">
        <f t="shared" si="4"/>
        <v>-7.483</v>
      </c>
    </row>
    <row r="332" spans="3:20">
      <c r="C332" s="105">
        <v>45306</v>
      </c>
      <c r="D332" s="106">
        <v>8.312</v>
      </c>
      <c r="E332" s="100">
        <v>14.105</v>
      </c>
      <c r="F332" s="100">
        <v>-41</v>
      </c>
      <c r="G332" s="100">
        <v>-19</v>
      </c>
      <c r="H332" s="100">
        <v>1</v>
      </c>
      <c r="I332" s="100">
        <v>-39</v>
      </c>
      <c r="K332" s="105">
        <v>45306</v>
      </c>
      <c r="L332" s="100">
        <v>24.817</v>
      </c>
      <c r="M332" s="106">
        <v>15.635</v>
      </c>
      <c r="N332" s="100">
        <v>59</v>
      </c>
      <c r="O332" s="100">
        <v>45</v>
      </c>
      <c r="P332" s="100">
        <v>66</v>
      </c>
      <c r="Q332" s="100">
        <v>25</v>
      </c>
      <c r="S332" s="105">
        <v>45306</v>
      </c>
      <c r="T332" s="106">
        <f t="shared" si="4"/>
        <v>-7.323</v>
      </c>
    </row>
    <row r="333" spans="3:20">
      <c r="C333" s="105">
        <v>45303</v>
      </c>
      <c r="D333" s="106">
        <v>8.4</v>
      </c>
      <c r="E333" s="100">
        <v>14.206</v>
      </c>
      <c r="F333" s="100">
        <v>-41</v>
      </c>
      <c r="G333" s="100">
        <v>-19</v>
      </c>
      <c r="H333" s="100">
        <v>1</v>
      </c>
      <c r="I333" s="100">
        <v>-39</v>
      </c>
      <c r="K333" s="105">
        <v>45303</v>
      </c>
      <c r="L333" s="100">
        <v>24.804</v>
      </c>
      <c r="M333" s="106">
        <v>15.72</v>
      </c>
      <c r="N333" s="100">
        <v>58</v>
      </c>
      <c r="O333" s="100">
        <v>45</v>
      </c>
      <c r="P333" s="100">
        <v>66</v>
      </c>
      <c r="Q333" s="100">
        <v>25</v>
      </c>
      <c r="S333" s="105">
        <v>45303</v>
      </c>
      <c r="T333" s="106">
        <f t="shared" si="4"/>
        <v>-7.32</v>
      </c>
    </row>
    <row r="334" spans="3:20">
      <c r="C334" s="105">
        <v>45302</v>
      </c>
      <c r="D334" s="106">
        <v>8.099</v>
      </c>
      <c r="E334" s="100">
        <v>14.029</v>
      </c>
      <c r="F334" s="100">
        <v>-42</v>
      </c>
      <c r="G334" s="100">
        <v>-19</v>
      </c>
      <c r="H334" s="100">
        <v>1</v>
      </c>
      <c r="I334" s="100">
        <v>-39</v>
      </c>
      <c r="K334" s="105">
        <v>45302</v>
      </c>
      <c r="L334" s="100">
        <v>24.686</v>
      </c>
      <c r="M334" s="106">
        <v>15.552</v>
      </c>
      <c r="N334" s="100">
        <v>59</v>
      </c>
      <c r="O334" s="100">
        <v>45</v>
      </c>
      <c r="P334" s="100">
        <v>66</v>
      </c>
      <c r="Q334" s="100">
        <v>25</v>
      </c>
      <c r="S334" s="105">
        <v>45302</v>
      </c>
      <c r="T334" s="106">
        <f t="shared" si="4"/>
        <v>-7.453</v>
      </c>
    </row>
    <row r="335" spans="3:20">
      <c r="C335" s="105">
        <v>45301</v>
      </c>
      <c r="D335" s="106">
        <v>8.262</v>
      </c>
      <c r="E335" s="100">
        <v>14.09</v>
      </c>
      <c r="F335" s="100">
        <v>-41</v>
      </c>
      <c r="G335" s="100">
        <v>-19</v>
      </c>
      <c r="H335" s="100">
        <v>1</v>
      </c>
      <c r="I335" s="100">
        <v>-39</v>
      </c>
      <c r="K335" s="105">
        <v>45301</v>
      </c>
      <c r="L335" s="100">
        <v>24.57</v>
      </c>
      <c r="M335" s="106">
        <v>15.587</v>
      </c>
      <c r="N335" s="100">
        <v>58</v>
      </c>
      <c r="O335" s="100">
        <v>45</v>
      </c>
      <c r="P335" s="100">
        <v>66</v>
      </c>
      <c r="Q335" s="100">
        <v>25</v>
      </c>
      <c r="S335" s="105">
        <v>45301</v>
      </c>
      <c r="T335" s="106">
        <f t="shared" si="4"/>
        <v>-7.325</v>
      </c>
    </row>
    <row r="336" spans="3:20">
      <c r="C336" s="105">
        <v>45300</v>
      </c>
      <c r="D336" s="106">
        <v>8.342</v>
      </c>
      <c r="E336" s="100">
        <v>13.958</v>
      </c>
      <c r="F336" s="100">
        <v>-40</v>
      </c>
      <c r="G336" s="100">
        <v>-19</v>
      </c>
      <c r="H336" s="100">
        <v>1</v>
      </c>
      <c r="I336" s="100">
        <v>-39</v>
      </c>
      <c r="K336" s="105">
        <v>45300</v>
      </c>
      <c r="L336" s="100">
        <v>24.367</v>
      </c>
      <c r="M336" s="106">
        <v>15.445</v>
      </c>
      <c r="N336" s="100">
        <v>58</v>
      </c>
      <c r="O336" s="100">
        <v>45</v>
      </c>
      <c r="P336" s="100">
        <v>66</v>
      </c>
      <c r="Q336" s="100">
        <v>25</v>
      </c>
      <c r="S336" s="105">
        <v>45300</v>
      </c>
      <c r="T336" s="106">
        <f t="shared" si="4"/>
        <v>-7.103</v>
      </c>
    </row>
    <row r="337" spans="3:20">
      <c r="C337" s="105">
        <v>45299</v>
      </c>
      <c r="D337" s="106">
        <v>8.71</v>
      </c>
      <c r="E337" s="100">
        <v>14.144</v>
      </c>
      <c r="F337" s="100">
        <v>-38</v>
      </c>
      <c r="G337" s="100">
        <v>-19</v>
      </c>
      <c r="H337" s="100">
        <v>1</v>
      </c>
      <c r="I337" s="100">
        <v>-39</v>
      </c>
      <c r="K337" s="105">
        <v>45299</v>
      </c>
      <c r="L337" s="100">
        <v>24.287</v>
      </c>
      <c r="M337" s="106">
        <v>15.593</v>
      </c>
      <c r="N337" s="100">
        <v>56</v>
      </c>
      <c r="O337" s="100">
        <v>45</v>
      </c>
      <c r="P337" s="100">
        <v>66</v>
      </c>
      <c r="Q337" s="100">
        <v>25</v>
      </c>
      <c r="S337" s="105">
        <v>45299</v>
      </c>
      <c r="T337" s="106">
        <f t="shared" si="4"/>
        <v>-6.883</v>
      </c>
    </row>
    <row r="338" spans="3:20">
      <c r="C338" s="105">
        <v>45296</v>
      </c>
      <c r="D338" s="106">
        <v>8.647</v>
      </c>
      <c r="E338" s="100">
        <v>13.958</v>
      </c>
      <c r="F338" s="100">
        <v>-38</v>
      </c>
      <c r="G338" s="100">
        <v>-19</v>
      </c>
      <c r="H338" s="100">
        <v>1</v>
      </c>
      <c r="I338" s="100">
        <v>-39</v>
      </c>
      <c r="K338" s="105">
        <v>45296</v>
      </c>
      <c r="L338" s="100">
        <v>24.247</v>
      </c>
      <c r="M338" s="106">
        <v>15.428</v>
      </c>
      <c r="N338" s="100">
        <v>57</v>
      </c>
      <c r="O338" s="100">
        <v>45</v>
      </c>
      <c r="P338" s="100">
        <v>66</v>
      </c>
      <c r="Q338" s="100">
        <v>25</v>
      </c>
      <c r="S338" s="105">
        <v>45296</v>
      </c>
      <c r="T338" s="106">
        <f t="shared" si="4"/>
        <v>-6.781</v>
      </c>
    </row>
    <row r="339" spans="3:20">
      <c r="C339" s="105">
        <v>45295</v>
      </c>
      <c r="D339" s="106">
        <v>8.33</v>
      </c>
      <c r="E339" s="100">
        <v>14.038</v>
      </c>
      <c r="F339" s="100">
        <v>-41</v>
      </c>
      <c r="G339" s="100">
        <v>-19</v>
      </c>
      <c r="H339" s="100">
        <v>1</v>
      </c>
      <c r="I339" s="100">
        <v>-39</v>
      </c>
      <c r="K339" s="105">
        <v>45295</v>
      </c>
      <c r="L339" s="100">
        <v>24.328</v>
      </c>
      <c r="M339" s="106">
        <v>15.508</v>
      </c>
      <c r="N339" s="100">
        <v>57</v>
      </c>
      <c r="O339" s="100">
        <v>45</v>
      </c>
      <c r="P339" s="100">
        <v>66</v>
      </c>
      <c r="Q339" s="100">
        <v>25</v>
      </c>
      <c r="S339" s="105">
        <v>45295</v>
      </c>
      <c r="T339" s="106">
        <f t="shared" si="4"/>
        <v>-7.178</v>
      </c>
    </row>
    <row r="340" spans="3:20">
      <c r="C340" s="105">
        <v>45294</v>
      </c>
      <c r="D340" s="106">
        <v>10.389</v>
      </c>
      <c r="E340" s="100">
        <v>14.36</v>
      </c>
      <c r="F340" s="100">
        <v>-28</v>
      </c>
      <c r="G340" s="100">
        <v>-19</v>
      </c>
      <c r="H340" s="100">
        <v>1</v>
      </c>
      <c r="I340" s="100">
        <v>-39</v>
      </c>
      <c r="K340" s="105">
        <v>45294</v>
      </c>
      <c r="L340" s="100">
        <v>24.366</v>
      </c>
      <c r="M340" s="106">
        <v>15.79</v>
      </c>
      <c r="N340" s="100">
        <v>54</v>
      </c>
      <c r="O340" s="100">
        <v>45</v>
      </c>
      <c r="P340" s="100">
        <v>66</v>
      </c>
      <c r="Q340" s="100">
        <v>25</v>
      </c>
      <c r="S340" s="105">
        <v>45294</v>
      </c>
      <c r="T340" s="106">
        <f t="shared" si="4"/>
        <v>-5.401</v>
      </c>
    </row>
    <row r="341" spans="3:20">
      <c r="C341" s="105">
        <v>45293</v>
      </c>
      <c r="D341" s="106">
        <v>10.738</v>
      </c>
      <c r="E341" s="100">
        <v>14.725</v>
      </c>
      <c r="F341" s="100">
        <v>-27</v>
      </c>
      <c r="G341" s="100">
        <v>-19</v>
      </c>
      <c r="H341" s="100">
        <v>1</v>
      </c>
      <c r="I341" s="100">
        <v>-39</v>
      </c>
      <c r="K341" s="105">
        <v>45293</v>
      </c>
      <c r="L341" s="100">
        <v>24.692</v>
      </c>
      <c r="M341" s="106">
        <v>16.149</v>
      </c>
      <c r="N341" s="100">
        <v>53</v>
      </c>
      <c r="O341" s="100">
        <v>45</v>
      </c>
      <c r="P341" s="100">
        <v>66</v>
      </c>
      <c r="Q341" s="100">
        <v>25</v>
      </c>
      <c r="S341" s="105">
        <v>45293</v>
      </c>
      <c r="T341" s="106">
        <f t="shared" si="4"/>
        <v>-5.411</v>
      </c>
    </row>
    <row r="342" spans="3:20">
      <c r="C342" s="105">
        <v>45289</v>
      </c>
      <c r="D342" s="106">
        <v>11.04</v>
      </c>
      <c r="E342" s="100">
        <v>14.949</v>
      </c>
      <c r="F342" s="100">
        <v>-26</v>
      </c>
      <c r="G342" s="100">
        <v>-19</v>
      </c>
      <c r="H342" s="100">
        <v>1</v>
      </c>
      <c r="I342" s="100">
        <v>-39</v>
      </c>
      <c r="K342" s="105">
        <v>45289</v>
      </c>
      <c r="L342" s="100">
        <v>25.078</v>
      </c>
      <c r="M342" s="106">
        <v>16.396</v>
      </c>
      <c r="N342" s="100">
        <v>53</v>
      </c>
      <c r="O342" s="100">
        <v>45</v>
      </c>
      <c r="P342" s="100">
        <v>66</v>
      </c>
      <c r="Q342" s="100">
        <v>25</v>
      </c>
      <c r="S342" s="105">
        <v>45289</v>
      </c>
      <c r="T342" s="106">
        <f t="shared" ref="T342:T405" si="5">D342-M342</f>
        <v>-5.356</v>
      </c>
    </row>
    <row r="343" spans="3:20">
      <c r="C343" s="105">
        <v>45288</v>
      </c>
      <c r="D343" s="106">
        <v>11.145</v>
      </c>
      <c r="E343" s="100">
        <v>14.934</v>
      </c>
      <c r="F343" s="100">
        <v>-25</v>
      </c>
      <c r="G343" s="100">
        <v>-19</v>
      </c>
      <c r="H343" s="100">
        <v>1</v>
      </c>
      <c r="I343" s="100">
        <v>-39</v>
      </c>
      <c r="K343" s="105">
        <v>45288</v>
      </c>
      <c r="L343" s="100">
        <v>25.143</v>
      </c>
      <c r="M343" s="106">
        <v>16.393</v>
      </c>
      <c r="N343" s="100">
        <v>53</v>
      </c>
      <c r="O343" s="100">
        <v>45</v>
      </c>
      <c r="P343" s="100">
        <v>66</v>
      </c>
      <c r="Q343" s="100">
        <v>25</v>
      </c>
      <c r="S343" s="105">
        <v>45288</v>
      </c>
      <c r="T343" s="106">
        <f t="shared" si="5"/>
        <v>-5.248</v>
      </c>
    </row>
    <row r="344" spans="3:20">
      <c r="C344" s="105">
        <v>45287</v>
      </c>
      <c r="D344" s="106">
        <v>11.179</v>
      </c>
      <c r="E344" s="100">
        <v>14.964</v>
      </c>
      <c r="F344" s="100">
        <v>-25</v>
      </c>
      <c r="G344" s="100">
        <v>-19</v>
      </c>
      <c r="H344" s="100">
        <v>1</v>
      </c>
      <c r="I344" s="100">
        <v>-39</v>
      </c>
      <c r="K344" s="105">
        <v>45287</v>
      </c>
      <c r="L344" s="100">
        <v>25.192</v>
      </c>
      <c r="M344" s="106">
        <v>16.425</v>
      </c>
      <c r="N344" s="100">
        <v>53</v>
      </c>
      <c r="O344" s="100">
        <v>45</v>
      </c>
      <c r="P344" s="100">
        <v>66</v>
      </c>
      <c r="Q344" s="100">
        <v>25</v>
      </c>
      <c r="S344" s="105">
        <v>45287</v>
      </c>
      <c r="T344" s="106">
        <f t="shared" si="5"/>
        <v>-5.246</v>
      </c>
    </row>
    <row r="345" spans="3:20">
      <c r="C345" s="105">
        <v>45282</v>
      </c>
      <c r="D345" s="106">
        <v>11.003</v>
      </c>
      <c r="E345" s="100">
        <v>14.963</v>
      </c>
      <c r="F345" s="100">
        <v>-26</v>
      </c>
      <c r="G345" s="100">
        <v>-19</v>
      </c>
      <c r="H345" s="100">
        <v>1</v>
      </c>
      <c r="I345" s="100">
        <v>-39</v>
      </c>
      <c r="K345" s="105">
        <v>45282</v>
      </c>
      <c r="L345" s="100">
        <v>25.159</v>
      </c>
      <c r="M345" s="106">
        <v>16.419</v>
      </c>
      <c r="N345" s="100">
        <v>53</v>
      </c>
      <c r="O345" s="100">
        <v>45</v>
      </c>
      <c r="P345" s="100">
        <v>66</v>
      </c>
      <c r="Q345" s="100">
        <v>25</v>
      </c>
      <c r="S345" s="105">
        <v>45282</v>
      </c>
      <c r="T345" s="106">
        <f t="shared" si="5"/>
        <v>-5.416</v>
      </c>
    </row>
    <row r="346" spans="3:20">
      <c r="C346" s="105">
        <v>45281</v>
      </c>
      <c r="D346" s="106">
        <v>11.605</v>
      </c>
      <c r="E346" s="100">
        <v>15.193</v>
      </c>
      <c r="F346" s="100">
        <v>-24</v>
      </c>
      <c r="G346" s="100">
        <v>-19</v>
      </c>
      <c r="H346" s="100">
        <v>1</v>
      </c>
      <c r="I346" s="100">
        <v>-39</v>
      </c>
      <c r="K346" s="105">
        <v>45281</v>
      </c>
      <c r="L346" s="100">
        <v>25.094</v>
      </c>
      <c r="M346" s="106">
        <v>16.608</v>
      </c>
      <c r="N346" s="100">
        <v>51</v>
      </c>
      <c r="O346" s="100">
        <v>45</v>
      </c>
      <c r="P346" s="100">
        <v>66</v>
      </c>
      <c r="Q346" s="100">
        <v>25</v>
      </c>
      <c r="S346" s="105">
        <v>45281</v>
      </c>
      <c r="T346" s="106">
        <f t="shared" si="5"/>
        <v>-5.003</v>
      </c>
    </row>
    <row r="347" spans="3:20">
      <c r="C347" s="105">
        <v>45280</v>
      </c>
      <c r="D347" s="106">
        <v>11.634</v>
      </c>
      <c r="E347" s="100">
        <v>15.221</v>
      </c>
      <c r="F347" s="100">
        <v>-24</v>
      </c>
      <c r="G347" s="100">
        <v>-19</v>
      </c>
      <c r="H347" s="100">
        <v>1</v>
      </c>
      <c r="I347" s="100">
        <v>-39</v>
      </c>
      <c r="K347" s="105">
        <v>45280</v>
      </c>
      <c r="L347" s="100">
        <v>25.175</v>
      </c>
      <c r="M347" s="106">
        <v>16.643</v>
      </c>
      <c r="N347" s="100">
        <v>51</v>
      </c>
      <c r="O347" s="100">
        <v>45</v>
      </c>
      <c r="P347" s="100">
        <v>66</v>
      </c>
      <c r="Q347" s="100">
        <v>25</v>
      </c>
      <c r="S347" s="105">
        <v>45280</v>
      </c>
      <c r="T347" s="106">
        <f t="shared" si="5"/>
        <v>-5.009</v>
      </c>
    </row>
    <row r="348" spans="3:20">
      <c r="C348" s="105">
        <v>45279</v>
      </c>
      <c r="D348" s="106">
        <v>11.519</v>
      </c>
      <c r="E348" s="100">
        <v>15.17</v>
      </c>
      <c r="F348" s="100">
        <v>-24</v>
      </c>
      <c r="G348" s="100">
        <v>-19</v>
      </c>
      <c r="H348" s="100">
        <v>1</v>
      </c>
      <c r="I348" s="100">
        <v>-39</v>
      </c>
      <c r="K348" s="105">
        <v>45279</v>
      </c>
      <c r="L348" s="100">
        <v>25.088</v>
      </c>
      <c r="M348" s="106">
        <v>16.587</v>
      </c>
      <c r="N348" s="100">
        <v>51</v>
      </c>
      <c r="O348" s="100">
        <v>45</v>
      </c>
      <c r="P348" s="100">
        <v>66</v>
      </c>
      <c r="Q348" s="100">
        <v>25</v>
      </c>
      <c r="S348" s="105">
        <v>45279</v>
      </c>
      <c r="T348" s="106">
        <f t="shared" si="5"/>
        <v>-5.068</v>
      </c>
    </row>
    <row r="349" spans="3:20">
      <c r="C349" s="105">
        <v>45278</v>
      </c>
      <c r="D349" s="106">
        <v>11.458</v>
      </c>
      <c r="E349" s="100">
        <v>15.096</v>
      </c>
      <c r="F349" s="100">
        <v>-24</v>
      </c>
      <c r="G349" s="100">
        <v>-19</v>
      </c>
      <c r="H349" s="100">
        <v>1</v>
      </c>
      <c r="I349" s="100">
        <v>-39</v>
      </c>
      <c r="K349" s="105">
        <v>45278</v>
      </c>
      <c r="L349" s="100">
        <v>25.175</v>
      </c>
      <c r="M349" s="106">
        <v>16.536</v>
      </c>
      <c r="N349" s="100">
        <v>52</v>
      </c>
      <c r="O349" s="100">
        <v>45</v>
      </c>
      <c r="P349" s="100">
        <v>66</v>
      </c>
      <c r="Q349" s="100">
        <v>25</v>
      </c>
      <c r="S349" s="105">
        <v>45278</v>
      </c>
      <c r="T349" s="106">
        <f t="shared" si="5"/>
        <v>-5.078</v>
      </c>
    </row>
    <row r="350" spans="3:20">
      <c r="C350" s="105">
        <v>45275</v>
      </c>
      <c r="D350" s="106">
        <v>11.575</v>
      </c>
      <c r="E350" s="100">
        <v>15.107</v>
      </c>
      <c r="F350" s="100">
        <v>-23</v>
      </c>
      <c r="G350" s="100">
        <v>-19</v>
      </c>
      <c r="H350" s="100">
        <v>1</v>
      </c>
      <c r="I350" s="100">
        <v>-39</v>
      </c>
      <c r="K350" s="105">
        <v>45275</v>
      </c>
      <c r="L350" s="100">
        <v>24.979</v>
      </c>
      <c r="M350" s="106">
        <v>16.517</v>
      </c>
      <c r="N350" s="100">
        <v>51</v>
      </c>
      <c r="O350" s="100">
        <v>45</v>
      </c>
      <c r="P350" s="100">
        <v>66</v>
      </c>
      <c r="Q350" s="100">
        <v>25</v>
      </c>
      <c r="S350" s="105">
        <v>45275</v>
      </c>
      <c r="T350" s="106">
        <f t="shared" si="5"/>
        <v>-4.942</v>
      </c>
    </row>
    <row r="351" spans="3:20">
      <c r="C351" s="105">
        <v>45274</v>
      </c>
      <c r="D351" s="106">
        <v>11.714</v>
      </c>
      <c r="E351" s="100">
        <v>15.167</v>
      </c>
      <c r="F351" s="100">
        <v>-23</v>
      </c>
      <c r="G351" s="100">
        <v>-19</v>
      </c>
      <c r="H351" s="100">
        <v>1</v>
      </c>
      <c r="I351" s="100">
        <v>-39</v>
      </c>
      <c r="K351" s="105">
        <v>45274</v>
      </c>
      <c r="L351" s="100">
        <v>25.247</v>
      </c>
      <c r="M351" s="106">
        <v>16.607</v>
      </c>
      <c r="N351" s="100">
        <v>52</v>
      </c>
      <c r="O351" s="100">
        <v>45</v>
      </c>
      <c r="P351" s="100">
        <v>66</v>
      </c>
      <c r="Q351" s="100">
        <v>25</v>
      </c>
      <c r="S351" s="105">
        <v>45274</v>
      </c>
      <c r="T351" s="106">
        <f t="shared" si="5"/>
        <v>-4.893</v>
      </c>
    </row>
    <row r="352" spans="3:20">
      <c r="C352" s="105">
        <v>45273</v>
      </c>
      <c r="D352" s="106">
        <v>11.384</v>
      </c>
      <c r="E352" s="100">
        <v>14.984</v>
      </c>
      <c r="F352" s="100">
        <v>-24</v>
      </c>
      <c r="G352" s="100">
        <v>-19</v>
      </c>
      <c r="H352" s="100">
        <v>1</v>
      </c>
      <c r="I352" s="100">
        <v>-39</v>
      </c>
      <c r="K352" s="105">
        <v>45273</v>
      </c>
      <c r="L352" s="100">
        <v>25.324</v>
      </c>
      <c r="M352" s="106">
        <v>16.461</v>
      </c>
      <c r="N352" s="100">
        <v>54</v>
      </c>
      <c r="O352" s="100">
        <v>45</v>
      </c>
      <c r="P352" s="100">
        <v>66</v>
      </c>
      <c r="Q352" s="100">
        <v>25</v>
      </c>
      <c r="S352" s="105">
        <v>45273</v>
      </c>
      <c r="T352" s="106">
        <f t="shared" si="5"/>
        <v>-5.077</v>
      </c>
    </row>
    <row r="353" spans="3:20">
      <c r="C353" s="105">
        <v>45272</v>
      </c>
      <c r="D353" s="106">
        <v>11.564</v>
      </c>
      <c r="E353" s="100">
        <v>15.064</v>
      </c>
      <c r="F353" s="100">
        <v>-23</v>
      </c>
      <c r="G353" s="100">
        <v>-19</v>
      </c>
      <c r="H353" s="100">
        <v>1</v>
      </c>
      <c r="I353" s="100">
        <v>-39</v>
      </c>
      <c r="K353" s="105">
        <v>45272</v>
      </c>
      <c r="L353" s="100">
        <v>25.134</v>
      </c>
      <c r="M353" s="106">
        <v>16.503</v>
      </c>
      <c r="N353" s="100">
        <v>52</v>
      </c>
      <c r="O353" s="100">
        <v>45</v>
      </c>
      <c r="P353" s="100">
        <v>66</v>
      </c>
      <c r="Q353" s="100">
        <v>25</v>
      </c>
      <c r="S353" s="105">
        <v>45272</v>
      </c>
      <c r="T353" s="106">
        <f t="shared" si="5"/>
        <v>-4.939</v>
      </c>
    </row>
    <row r="354" spans="3:20">
      <c r="C354" s="105">
        <v>45271</v>
      </c>
      <c r="D354" s="106">
        <v>11.559</v>
      </c>
      <c r="E354" s="100">
        <v>15.111</v>
      </c>
      <c r="F354" s="100">
        <v>-24</v>
      </c>
      <c r="G354" s="100">
        <v>-19</v>
      </c>
      <c r="H354" s="100">
        <v>1</v>
      </c>
      <c r="I354" s="100">
        <v>-39</v>
      </c>
      <c r="K354" s="105">
        <v>45271</v>
      </c>
      <c r="L354" s="100">
        <v>24.878</v>
      </c>
      <c r="M354" s="106">
        <v>16.506</v>
      </c>
      <c r="N354" s="100">
        <v>51</v>
      </c>
      <c r="O354" s="100">
        <v>45</v>
      </c>
      <c r="P354" s="100">
        <v>66</v>
      </c>
      <c r="Q354" s="100">
        <v>25</v>
      </c>
      <c r="S354" s="105">
        <v>45271</v>
      </c>
      <c r="T354" s="106">
        <f t="shared" si="5"/>
        <v>-4.947</v>
      </c>
    </row>
    <row r="355" spans="3:20">
      <c r="C355" s="105">
        <v>45268</v>
      </c>
      <c r="D355" s="106">
        <v>11.252</v>
      </c>
      <c r="E355" s="100">
        <v>14.898</v>
      </c>
      <c r="F355" s="100">
        <v>-24</v>
      </c>
      <c r="G355" s="100">
        <v>-19</v>
      </c>
      <c r="H355" s="100">
        <v>1</v>
      </c>
      <c r="I355" s="100">
        <v>-39</v>
      </c>
      <c r="K355" s="105">
        <v>45268</v>
      </c>
      <c r="L355" s="100">
        <v>24.763</v>
      </c>
      <c r="M355" s="106">
        <v>16.308</v>
      </c>
      <c r="N355" s="100">
        <v>52</v>
      </c>
      <c r="O355" s="100">
        <v>45</v>
      </c>
      <c r="P355" s="100">
        <v>66</v>
      </c>
      <c r="Q355" s="100">
        <v>25</v>
      </c>
      <c r="S355" s="105">
        <v>45268</v>
      </c>
      <c r="T355" s="106">
        <f t="shared" si="5"/>
        <v>-5.056</v>
      </c>
    </row>
    <row r="356" spans="3:20">
      <c r="C356" s="105">
        <v>45267</v>
      </c>
      <c r="D356" s="106">
        <v>11.179</v>
      </c>
      <c r="E356" s="100">
        <v>14.685</v>
      </c>
      <c r="F356" s="100">
        <v>-24</v>
      </c>
      <c r="G356" s="100">
        <v>-19</v>
      </c>
      <c r="H356" s="100">
        <v>1</v>
      </c>
      <c r="I356" s="100">
        <v>-39</v>
      </c>
      <c r="K356" s="105">
        <v>45267</v>
      </c>
      <c r="L356" s="100">
        <v>24.452</v>
      </c>
      <c r="M356" s="106">
        <v>16.08</v>
      </c>
      <c r="N356" s="100">
        <v>52</v>
      </c>
      <c r="O356" s="100">
        <v>45</v>
      </c>
      <c r="P356" s="100">
        <v>66</v>
      </c>
      <c r="Q356" s="100">
        <v>25</v>
      </c>
      <c r="S356" s="105">
        <v>45267</v>
      </c>
      <c r="T356" s="106">
        <f t="shared" si="5"/>
        <v>-4.901</v>
      </c>
    </row>
    <row r="357" spans="3:20">
      <c r="C357" s="105">
        <v>45266</v>
      </c>
      <c r="D357" s="106">
        <v>11.376</v>
      </c>
      <c r="E357" s="100">
        <v>14.851</v>
      </c>
      <c r="F357" s="100">
        <v>-23</v>
      </c>
      <c r="G357" s="100">
        <v>-19</v>
      </c>
      <c r="H357" s="100">
        <v>1</v>
      </c>
      <c r="I357" s="100">
        <v>-39</v>
      </c>
      <c r="K357" s="105">
        <v>45266</v>
      </c>
      <c r="L357" s="100">
        <v>24.299</v>
      </c>
      <c r="M357" s="106">
        <v>16.201</v>
      </c>
      <c r="N357" s="100">
        <v>50</v>
      </c>
      <c r="O357" s="100">
        <v>45</v>
      </c>
      <c r="P357" s="100">
        <v>66</v>
      </c>
      <c r="Q357" s="100">
        <v>25</v>
      </c>
      <c r="S357" s="105">
        <v>45266</v>
      </c>
      <c r="T357" s="106">
        <f t="shared" si="5"/>
        <v>-4.825</v>
      </c>
    </row>
    <row r="358" spans="3:20">
      <c r="C358" s="105">
        <v>45265</v>
      </c>
      <c r="D358" s="106">
        <v>11.135</v>
      </c>
      <c r="E358" s="100">
        <v>14.872</v>
      </c>
      <c r="F358" s="100">
        <v>-25</v>
      </c>
      <c r="G358" s="100">
        <v>-19</v>
      </c>
      <c r="H358" s="100">
        <v>1</v>
      </c>
      <c r="I358" s="100">
        <v>-39</v>
      </c>
      <c r="K358" s="105">
        <v>45265</v>
      </c>
      <c r="L358" s="100">
        <v>24.359</v>
      </c>
      <c r="M358" s="106">
        <v>16.227</v>
      </c>
      <c r="N358" s="100">
        <v>50</v>
      </c>
      <c r="O358" s="100">
        <v>45</v>
      </c>
      <c r="P358" s="100">
        <v>66</v>
      </c>
      <c r="Q358" s="100">
        <v>25</v>
      </c>
      <c r="S358" s="105">
        <v>45265</v>
      </c>
      <c r="T358" s="106">
        <f t="shared" si="5"/>
        <v>-5.092</v>
      </c>
    </row>
    <row r="359" spans="3:20">
      <c r="C359" s="105">
        <v>45264</v>
      </c>
      <c r="D359" s="106">
        <v>11.133</v>
      </c>
      <c r="E359" s="100">
        <v>14.905</v>
      </c>
      <c r="F359" s="100">
        <v>-25</v>
      </c>
      <c r="G359" s="100">
        <v>-19</v>
      </c>
      <c r="H359" s="100">
        <v>1</v>
      </c>
      <c r="I359" s="100">
        <v>-39</v>
      </c>
      <c r="K359" s="105">
        <v>45264</v>
      </c>
      <c r="L359" s="100">
        <v>24.499</v>
      </c>
      <c r="M359" s="106">
        <v>16.276</v>
      </c>
      <c r="N359" s="100">
        <v>51</v>
      </c>
      <c r="O359" s="100">
        <v>45</v>
      </c>
      <c r="P359" s="100">
        <v>66</v>
      </c>
      <c r="Q359" s="100">
        <v>25</v>
      </c>
      <c r="S359" s="105">
        <v>45264</v>
      </c>
      <c r="T359" s="106">
        <f t="shared" si="5"/>
        <v>-5.143</v>
      </c>
    </row>
    <row r="360" spans="3:20">
      <c r="C360" s="105">
        <v>45261</v>
      </c>
      <c r="D360" s="106">
        <v>10.833</v>
      </c>
      <c r="E360" s="100">
        <v>14.759</v>
      </c>
      <c r="F360" s="100">
        <v>-27</v>
      </c>
      <c r="G360" s="100">
        <v>-19</v>
      </c>
      <c r="H360" s="100">
        <v>1</v>
      </c>
      <c r="I360" s="100">
        <v>-39</v>
      </c>
      <c r="K360" s="105">
        <v>45261</v>
      </c>
      <c r="L360" s="100">
        <v>24.517</v>
      </c>
      <c r="M360" s="106">
        <v>16.153</v>
      </c>
      <c r="N360" s="100">
        <v>52</v>
      </c>
      <c r="O360" s="100">
        <v>45</v>
      </c>
      <c r="P360" s="100">
        <v>66</v>
      </c>
      <c r="Q360" s="100">
        <v>25</v>
      </c>
      <c r="S360" s="105">
        <v>45261</v>
      </c>
      <c r="T360" s="106">
        <f t="shared" si="5"/>
        <v>-5.32</v>
      </c>
    </row>
    <row r="361" spans="3:20">
      <c r="C361" s="105">
        <v>45260</v>
      </c>
      <c r="D361" s="106">
        <v>10.614</v>
      </c>
      <c r="E361" s="100">
        <v>14.539</v>
      </c>
      <c r="F361" s="100">
        <v>-27</v>
      </c>
      <c r="G361" s="100">
        <v>-19</v>
      </c>
      <c r="H361" s="100">
        <v>1</v>
      </c>
      <c r="I361" s="100">
        <v>-39</v>
      </c>
      <c r="K361" s="105">
        <v>45260</v>
      </c>
      <c r="L361" s="100">
        <v>24.293</v>
      </c>
      <c r="M361" s="106">
        <v>15.933</v>
      </c>
      <c r="N361" s="100">
        <v>52</v>
      </c>
      <c r="O361" s="100">
        <v>45</v>
      </c>
      <c r="P361" s="100">
        <v>66</v>
      </c>
      <c r="Q361" s="100">
        <v>25</v>
      </c>
      <c r="S361" s="105">
        <v>45260</v>
      </c>
      <c r="T361" s="106">
        <f t="shared" si="5"/>
        <v>-5.319</v>
      </c>
    </row>
    <row r="362" spans="3:20">
      <c r="C362" s="105">
        <v>45259</v>
      </c>
      <c r="D362" s="106">
        <v>10.635</v>
      </c>
      <c r="E362" s="100">
        <v>14.638</v>
      </c>
      <c r="F362" s="100">
        <v>-27</v>
      </c>
      <c r="G362" s="100">
        <v>-19</v>
      </c>
      <c r="H362" s="100">
        <v>1</v>
      </c>
      <c r="I362" s="100">
        <v>-39</v>
      </c>
      <c r="K362" s="105">
        <v>45259</v>
      </c>
      <c r="L362" s="100">
        <v>24.307</v>
      </c>
      <c r="M362" s="106">
        <v>16.019</v>
      </c>
      <c r="N362" s="100">
        <v>52</v>
      </c>
      <c r="O362" s="100">
        <v>45</v>
      </c>
      <c r="P362" s="100">
        <v>66</v>
      </c>
      <c r="Q362" s="100">
        <v>25</v>
      </c>
      <c r="S362" s="105">
        <v>45259</v>
      </c>
      <c r="T362" s="106">
        <f t="shared" si="5"/>
        <v>-5.384</v>
      </c>
    </row>
    <row r="363" spans="3:20">
      <c r="C363" s="105">
        <v>45258</v>
      </c>
      <c r="D363" s="106">
        <v>10.065</v>
      </c>
      <c r="E363" s="100">
        <v>14.423</v>
      </c>
      <c r="F363" s="100">
        <v>-30</v>
      </c>
      <c r="G363" s="100">
        <v>-19</v>
      </c>
      <c r="H363" s="100">
        <v>1</v>
      </c>
      <c r="I363" s="100">
        <v>-39</v>
      </c>
      <c r="K363" s="105">
        <v>45258</v>
      </c>
      <c r="L363" s="100">
        <v>24.328</v>
      </c>
      <c r="M363" s="106">
        <v>15.838</v>
      </c>
      <c r="N363" s="100">
        <v>54</v>
      </c>
      <c r="O363" s="100">
        <v>45</v>
      </c>
      <c r="P363" s="100">
        <v>66</v>
      </c>
      <c r="Q363" s="100">
        <v>25</v>
      </c>
      <c r="S363" s="105">
        <v>45258</v>
      </c>
      <c r="T363" s="106">
        <f t="shared" si="5"/>
        <v>-5.773</v>
      </c>
    </row>
    <row r="364" spans="3:20">
      <c r="C364" s="105">
        <v>45257</v>
      </c>
      <c r="D364" s="106">
        <v>10.066</v>
      </c>
      <c r="E364" s="100">
        <v>14.389</v>
      </c>
      <c r="F364" s="100">
        <v>-30</v>
      </c>
      <c r="G364" s="100">
        <v>-19</v>
      </c>
      <c r="H364" s="100">
        <v>1</v>
      </c>
      <c r="I364" s="100">
        <v>-39</v>
      </c>
      <c r="K364" s="105">
        <v>45257</v>
      </c>
      <c r="L364" s="100">
        <v>24.302</v>
      </c>
      <c r="M364" s="106">
        <v>15.805</v>
      </c>
      <c r="N364" s="100">
        <v>54</v>
      </c>
      <c r="O364" s="100">
        <v>45</v>
      </c>
      <c r="P364" s="100">
        <v>66</v>
      </c>
      <c r="Q364" s="100">
        <v>25</v>
      </c>
      <c r="S364" s="105">
        <v>45257</v>
      </c>
      <c r="T364" s="106">
        <f t="shared" si="5"/>
        <v>-5.739</v>
      </c>
    </row>
    <row r="365" spans="3:20">
      <c r="C365" s="105">
        <v>45254</v>
      </c>
      <c r="D365" s="106">
        <v>10.035</v>
      </c>
      <c r="E365" s="100">
        <v>14.346</v>
      </c>
      <c r="F365" s="100">
        <v>-30</v>
      </c>
      <c r="G365" s="100">
        <v>-19</v>
      </c>
      <c r="H365" s="100">
        <v>1</v>
      </c>
      <c r="I365" s="100">
        <v>-39</v>
      </c>
      <c r="K365" s="105">
        <v>45254</v>
      </c>
      <c r="L365" s="100">
        <v>24.205</v>
      </c>
      <c r="M365" s="106">
        <v>15.754</v>
      </c>
      <c r="N365" s="100">
        <v>54</v>
      </c>
      <c r="O365" s="100">
        <v>45</v>
      </c>
      <c r="P365" s="100">
        <v>66</v>
      </c>
      <c r="Q365" s="100">
        <v>25</v>
      </c>
      <c r="S365" s="105">
        <v>45254</v>
      </c>
      <c r="T365" s="106">
        <f t="shared" si="5"/>
        <v>-5.719</v>
      </c>
    </row>
    <row r="366" spans="3:20">
      <c r="C366" s="105">
        <v>45253</v>
      </c>
      <c r="D366" s="106">
        <v>10.019</v>
      </c>
      <c r="E366" s="100">
        <v>14.283</v>
      </c>
      <c r="F366" s="100">
        <v>-30</v>
      </c>
      <c r="G366" s="100">
        <v>-19</v>
      </c>
      <c r="H366" s="100">
        <v>1</v>
      </c>
      <c r="I366" s="100">
        <v>-39</v>
      </c>
      <c r="K366" s="105">
        <v>45253</v>
      </c>
      <c r="L366" s="100">
        <v>24.292</v>
      </c>
      <c r="M366" s="106">
        <v>15.713</v>
      </c>
      <c r="N366" s="100">
        <v>55</v>
      </c>
      <c r="O366" s="100">
        <v>45</v>
      </c>
      <c r="P366" s="100">
        <v>66</v>
      </c>
      <c r="Q366" s="100">
        <v>25</v>
      </c>
      <c r="S366" s="105">
        <v>45253</v>
      </c>
      <c r="T366" s="106">
        <f t="shared" si="5"/>
        <v>-5.694</v>
      </c>
    </row>
    <row r="367" spans="3:20">
      <c r="C367" s="105">
        <v>45252</v>
      </c>
      <c r="D367" s="106">
        <v>10.189</v>
      </c>
      <c r="E367" s="100">
        <v>14.304</v>
      </c>
      <c r="F367" s="100">
        <v>-29</v>
      </c>
      <c r="G367" s="100">
        <v>-19</v>
      </c>
      <c r="H367" s="100">
        <v>1</v>
      </c>
      <c r="I367" s="100">
        <v>-39</v>
      </c>
      <c r="K367" s="105">
        <v>45252</v>
      </c>
      <c r="L367" s="100">
        <v>24.252</v>
      </c>
      <c r="M367" s="106">
        <v>15.725</v>
      </c>
      <c r="N367" s="100">
        <v>54</v>
      </c>
      <c r="O367" s="100">
        <v>45</v>
      </c>
      <c r="P367" s="100">
        <v>66</v>
      </c>
      <c r="Q367" s="100">
        <v>25</v>
      </c>
      <c r="S367" s="105">
        <v>45252</v>
      </c>
      <c r="T367" s="106">
        <f t="shared" si="5"/>
        <v>-5.536</v>
      </c>
    </row>
    <row r="368" spans="3:20">
      <c r="C368" s="105">
        <v>45251</v>
      </c>
      <c r="D368" s="106">
        <v>9.804</v>
      </c>
      <c r="E368" s="100">
        <v>14.098</v>
      </c>
      <c r="F368" s="100">
        <v>-30</v>
      </c>
      <c r="G368" s="100">
        <v>-19</v>
      </c>
      <c r="H368" s="100">
        <v>1</v>
      </c>
      <c r="I368" s="100">
        <v>-39</v>
      </c>
      <c r="K368" s="105">
        <v>45251</v>
      </c>
      <c r="L368" s="100">
        <v>23.74</v>
      </c>
      <c r="M368" s="106">
        <v>15.476</v>
      </c>
      <c r="N368" s="100">
        <v>53</v>
      </c>
      <c r="O368" s="100">
        <v>45</v>
      </c>
      <c r="P368" s="100">
        <v>66</v>
      </c>
      <c r="Q368" s="100">
        <v>25</v>
      </c>
      <c r="S368" s="105">
        <v>45251</v>
      </c>
      <c r="T368" s="106">
        <f t="shared" si="5"/>
        <v>-5.672</v>
      </c>
    </row>
    <row r="369" spans="3:20">
      <c r="C369" s="105">
        <v>45250</v>
      </c>
      <c r="D369" s="106">
        <v>9.435</v>
      </c>
      <c r="E369" s="100">
        <v>13.976</v>
      </c>
      <c r="F369" s="100">
        <v>-32</v>
      </c>
      <c r="G369" s="100">
        <v>-19</v>
      </c>
      <c r="H369" s="100">
        <v>1</v>
      </c>
      <c r="I369" s="100">
        <v>-39</v>
      </c>
      <c r="K369" s="105">
        <v>45250</v>
      </c>
      <c r="L369" s="100">
        <v>23.608</v>
      </c>
      <c r="M369" s="106">
        <v>15.352</v>
      </c>
      <c r="N369" s="100">
        <v>54</v>
      </c>
      <c r="O369" s="100">
        <v>45</v>
      </c>
      <c r="P369" s="100">
        <v>66</v>
      </c>
      <c r="Q369" s="100">
        <v>25</v>
      </c>
      <c r="S369" s="105">
        <v>45250</v>
      </c>
      <c r="T369" s="106">
        <f t="shared" si="5"/>
        <v>-5.917</v>
      </c>
    </row>
    <row r="370" spans="3:20">
      <c r="C370" s="105">
        <v>45247</v>
      </c>
      <c r="D370" s="106">
        <v>9.418</v>
      </c>
      <c r="E370" s="100">
        <v>13.897</v>
      </c>
      <c r="F370" s="100">
        <v>-32</v>
      </c>
      <c r="G370" s="100">
        <v>-19</v>
      </c>
      <c r="H370" s="100">
        <v>1</v>
      </c>
      <c r="I370" s="100">
        <v>-39</v>
      </c>
      <c r="K370" s="105">
        <v>45247</v>
      </c>
      <c r="L370" s="100">
        <v>23.492</v>
      </c>
      <c r="M370" s="106">
        <v>15.268</v>
      </c>
      <c r="N370" s="100">
        <v>54</v>
      </c>
      <c r="O370" s="100">
        <v>45</v>
      </c>
      <c r="P370" s="100">
        <v>66</v>
      </c>
      <c r="Q370" s="100">
        <v>25</v>
      </c>
      <c r="S370" s="105">
        <v>45247</v>
      </c>
      <c r="T370" s="106">
        <f t="shared" si="5"/>
        <v>-5.85</v>
      </c>
    </row>
    <row r="371" spans="3:20">
      <c r="C371" s="105">
        <v>45246</v>
      </c>
      <c r="D371" s="106">
        <v>9.309</v>
      </c>
      <c r="E371" s="100">
        <v>13.573</v>
      </c>
      <c r="F371" s="100">
        <v>-31</v>
      </c>
      <c r="G371" s="100">
        <v>-19</v>
      </c>
      <c r="H371" s="100">
        <v>1</v>
      </c>
      <c r="I371" s="100">
        <v>-39</v>
      </c>
      <c r="K371" s="105">
        <v>45246</v>
      </c>
      <c r="L371" s="100">
        <v>23.145</v>
      </c>
      <c r="M371" s="106">
        <v>14.941</v>
      </c>
      <c r="N371" s="100">
        <v>55</v>
      </c>
      <c r="O371" s="100">
        <v>45</v>
      </c>
      <c r="P371" s="100">
        <v>66</v>
      </c>
      <c r="Q371" s="100">
        <v>25</v>
      </c>
      <c r="S371" s="105">
        <v>45246</v>
      </c>
      <c r="T371" s="106">
        <f t="shared" si="5"/>
        <v>-5.632</v>
      </c>
    </row>
    <row r="372" spans="3:20">
      <c r="C372" s="105">
        <v>45245</v>
      </c>
      <c r="D372" s="106">
        <v>9.642</v>
      </c>
      <c r="E372" s="100">
        <v>13.857</v>
      </c>
      <c r="F372" s="100">
        <v>-30</v>
      </c>
      <c r="G372" s="100">
        <v>-19</v>
      </c>
      <c r="H372" s="100">
        <v>1</v>
      </c>
      <c r="I372" s="100">
        <v>-39</v>
      </c>
      <c r="K372" s="105">
        <v>45245</v>
      </c>
      <c r="L372" s="100">
        <v>23.071</v>
      </c>
      <c r="M372" s="106">
        <v>15.174</v>
      </c>
      <c r="N372" s="100">
        <v>52</v>
      </c>
      <c r="O372" s="100">
        <v>45</v>
      </c>
      <c r="P372" s="100">
        <v>66</v>
      </c>
      <c r="Q372" s="100">
        <v>25</v>
      </c>
      <c r="S372" s="105">
        <v>45245</v>
      </c>
      <c r="T372" s="106">
        <f t="shared" si="5"/>
        <v>-5.532</v>
      </c>
    </row>
    <row r="373" spans="3:20">
      <c r="C373" s="105">
        <v>45244</v>
      </c>
      <c r="D373" s="106">
        <v>9.494</v>
      </c>
      <c r="E373" s="100">
        <v>13.629</v>
      </c>
      <c r="F373" s="100">
        <v>-30</v>
      </c>
      <c r="G373" s="100">
        <v>-19</v>
      </c>
      <c r="H373" s="100">
        <v>1</v>
      </c>
      <c r="I373" s="100">
        <v>-39</v>
      </c>
      <c r="K373" s="105">
        <v>45244</v>
      </c>
      <c r="L373" s="100">
        <v>22.905</v>
      </c>
      <c r="M373" s="106">
        <v>14.954</v>
      </c>
      <c r="N373" s="100">
        <v>53</v>
      </c>
      <c r="O373" s="100">
        <v>45</v>
      </c>
      <c r="P373" s="100">
        <v>66</v>
      </c>
      <c r="Q373" s="100">
        <v>25</v>
      </c>
      <c r="S373" s="105">
        <v>45244</v>
      </c>
      <c r="T373" s="106">
        <f t="shared" si="5"/>
        <v>-5.46</v>
      </c>
    </row>
    <row r="374" spans="3:20">
      <c r="C374" s="105">
        <v>45243</v>
      </c>
      <c r="D374" s="106">
        <v>9.104</v>
      </c>
      <c r="E374" s="100">
        <v>13.356</v>
      </c>
      <c r="F374" s="100">
        <v>-32</v>
      </c>
      <c r="G374" s="100">
        <v>-19</v>
      </c>
      <c r="H374" s="100">
        <v>1</v>
      </c>
      <c r="I374" s="100">
        <v>-39</v>
      </c>
      <c r="K374" s="105">
        <v>45243</v>
      </c>
      <c r="L374" s="100">
        <v>23.273</v>
      </c>
      <c r="M374" s="106">
        <v>14.773</v>
      </c>
      <c r="N374" s="100">
        <v>58</v>
      </c>
      <c r="O374" s="100">
        <v>45</v>
      </c>
      <c r="P374" s="100">
        <v>66</v>
      </c>
      <c r="Q374" s="100">
        <v>25</v>
      </c>
      <c r="S374" s="105">
        <v>45243</v>
      </c>
      <c r="T374" s="106">
        <f t="shared" si="5"/>
        <v>-5.669</v>
      </c>
    </row>
    <row r="375" spans="3:20">
      <c r="C375" s="105">
        <v>45240</v>
      </c>
      <c r="D375" s="106">
        <v>9.113</v>
      </c>
      <c r="E375" s="100">
        <v>13.38</v>
      </c>
      <c r="F375" s="100">
        <v>-32</v>
      </c>
      <c r="G375" s="100">
        <v>-19</v>
      </c>
      <c r="H375" s="100">
        <v>1</v>
      </c>
      <c r="I375" s="100">
        <v>-39</v>
      </c>
      <c r="K375" s="105">
        <v>45240</v>
      </c>
      <c r="L375" s="100">
        <v>23.557</v>
      </c>
      <c r="M375" s="106">
        <v>14.833</v>
      </c>
      <c r="N375" s="100">
        <v>59</v>
      </c>
      <c r="O375" s="100">
        <v>45</v>
      </c>
      <c r="P375" s="100">
        <v>66</v>
      </c>
      <c r="Q375" s="100">
        <v>25</v>
      </c>
      <c r="S375" s="105">
        <v>45240</v>
      </c>
      <c r="T375" s="106">
        <f t="shared" si="5"/>
        <v>-5.72</v>
      </c>
    </row>
    <row r="376" spans="3:20">
      <c r="C376" s="105">
        <v>45239</v>
      </c>
      <c r="D376" s="106">
        <v>9.157</v>
      </c>
      <c r="E376" s="100">
        <v>13.521</v>
      </c>
      <c r="F376" s="100">
        <v>-32</v>
      </c>
      <c r="G376" s="100">
        <v>-19</v>
      </c>
      <c r="H376" s="100">
        <v>1</v>
      </c>
      <c r="I376" s="100">
        <v>-39</v>
      </c>
      <c r="K376" s="105">
        <v>45239</v>
      </c>
      <c r="L376" s="100">
        <v>23.516</v>
      </c>
      <c r="M376" s="106">
        <v>14.949</v>
      </c>
      <c r="N376" s="100">
        <v>57</v>
      </c>
      <c r="O376" s="100">
        <v>45</v>
      </c>
      <c r="P376" s="100">
        <v>66</v>
      </c>
      <c r="Q376" s="100">
        <v>25</v>
      </c>
      <c r="S376" s="105">
        <v>45239</v>
      </c>
      <c r="T376" s="106">
        <f t="shared" si="5"/>
        <v>-5.792</v>
      </c>
    </row>
    <row r="377" spans="3:20">
      <c r="C377" s="105">
        <v>45238</v>
      </c>
      <c r="D377" s="106">
        <v>9.137</v>
      </c>
      <c r="E377" s="100">
        <v>13.514</v>
      </c>
      <c r="F377" s="100">
        <v>-32</v>
      </c>
      <c r="G377" s="100">
        <v>-19</v>
      </c>
      <c r="H377" s="100">
        <v>1</v>
      </c>
      <c r="I377" s="100">
        <v>-39</v>
      </c>
      <c r="K377" s="105">
        <v>45238</v>
      </c>
      <c r="L377" s="100">
        <v>23.464</v>
      </c>
      <c r="M377" s="106">
        <v>14.936</v>
      </c>
      <c r="N377" s="100">
        <v>57</v>
      </c>
      <c r="O377" s="100">
        <v>45</v>
      </c>
      <c r="P377" s="100">
        <v>66</v>
      </c>
      <c r="Q377" s="100">
        <v>25</v>
      </c>
      <c r="S377" s="105">
        <v>45238</v>
      </c>
      <c r="T377" s="106">
        <f t="shared" si="5"/>
        <v>-5.799</v>
      </c>
    </row>
    <row r="378" spans="3:20">
      <c r="C378" s="105">
        <v>45237</v>
      </c>
      <c r="D378" s="106">
        <v>9.141</v>
      </c>
      <c r="E378" s="100">
        <v>13.422</v>
      </c>
      <c r="F378" s="100">
        <v>-32</v>
      </c>
      <c r="G378" s="100">
        <v>-19</v>
      </c>
      <c r="H378" s="100">
        <v>1</v>
      </c>
      <c r="I378" s="100">
        <v>-39</v>
      </c>
      <c r="K378" s="105">
        <v>45237</v>
      </c>
      <c r="L378" s="100">
        <v>23.309</v>
      </c>
      <c r="M378" s="106">
        <v>14.834</v>
      </c>
      <c r="N378" s="100">
        <v>57</v>
      </c>
      <c r="O378" s="100">
        <v>45</v>
      </c>
      <c r="P378" s="100">
        <v>66</v>
      </c>
      <c r="Q378" s="100">
        <v>25</v>
      </c>
      <c r="S378" s="105">
        <v>45237</v>
      </c>
      <c r="T378" s="106">
        <f t="shared" si="5"/>
        <v>-5.693</v>
      </c>
    </row>
    <row r="379" spans="3:20">
      <c r="C379" s="105">
        <v>45236</v>
      </c>
      <c r="D379" s="106">
        <v>8.995</v>
      </c>
      <c r="E379" s="100">
        <v>13.235</v>
      </c>
      <c r="F379" s="100">
        <v>-32</v>
      </c>
      <c r="G379" s="100">
        <v>-19</v>
      </c>
      <c r="H379" s="100">
        <v>1</v>
      </c>
      <c r="I379" s="100">
        <v>-39</v>
      </c>
      <c r="K379" s="105">
        <v>45236</v>
      </c>
      <c r="L379" s="100">
        <v>22.933</v>
      </c>
      <c r="M379" s="106">
        <v>14.621</v>
      </c>
      <c r="N379" s="100">
        <v>57</v>
      </c>
      <c r="O379" s="100">
        <v>45</v>
      </c>
      <c r="P379" s="100">
        <v>66</v>
      </c>
      <c r="Q379" s="100">
        <v>25</v>
      </c>
      <c r="S379" s="105">
        <v>45236</v>
      </c>
      <c r="T379" s="106">
        <f t="shared" si="5"/>
        <v>-5.626</v>
      </c>
    </row>
    <row r="380" spans="3:20">
      <c r="C380" s="105">
        <v>45233</v>
      </c>
      <c r="D380" s="106">
        <v>9.051</v>
      </c>
      <c r="E380" s="100">
        <v>13.393</v>
      </c>
      <c r="F380" s="100">
        <v>-32</v>
      </c>
      <c r="G380" s="100">
        <v>-19</v>
      </c>
      <c r="H380" s="100">
        <v>1</v>
      </c>
      <c r="I380" s="100">
        <v>-39</v>
      </c>
      <c r="K380" s="105">
        <v>45233</v>
      </c>
      <c r="L380" s="100">
        <v>22.873</v>
      </c>
      <c r="M380" s="106">
        <v>14.748</v>
      </c>
      <c r="N380" s="100">
        <v>55</v>
      </c>
      <c r="O380" s="100">
        <v>45</v>
      </c>
      <c r="P380" s="100">
        <v>66</v>
      </c>
      <c r="Q380" s="100">
        <v>25</v>
      </c>
      <c r="S380" s="105">
        <v>45233</v>
      </c>
      <c r="T380" s="106">
        <f t="shared" si="5"/>
        <v>-5.697</v>
      </c>
    </row>
    <row r="381" spans="3:20">
      <c r="C381" s="105">
        <v>45232</v>
      </c>
      <c r="D381" s="106">
        <v>8.716</v>
      </c>
      <c r="E381" s="100">
        <v>13.253</v>
      </c>
      <c r="F381" s="100">
        <v>-34</v>
      </c>
      <c r="G381" s="100">
        <v>-19</v>
      </c>
      <c r="H381" s="100">
        <v>1</v>
      </c>
      <c r="I381" s="100">
        <v>-39</v>
      </c>
      <c r="K381" s="105">
        <v>45232</v>
      </c>
      <c r="L381" s="100">
        <v>23.063</v>
      </c>
      <c r="M381" s="106">
        <v>14.654</v>
      </c>
      <c r="N381" s="100">
        <v>57</v>
      </c>
      <c r="O381" s="100">
        <v>45</v>
      </c>
      <c r="P381" s="100">
        <v>66</v>
      </c>
      <c r="Q381" s="100">
        <v>25</v>
      </c>
      <c r="S381" s="105">
        <v>45232</v>
      </c>
      <c r="T381" s="106">
        <f t="shared" si="5"/>
        <v>-5.938</v>
      </c>
    </row>
    <row r="382" spans="3:20">
      <c r="C382" s="105">
        <v>45231</v>
      </c>
      <c r="D382" s="106">
        <v>8.729</v>
      </c>
      <c r="E382" s="100">
        <v>12.978</v>
      </c>
      <c r="F382" s="100">
        <v>-33</v>
      </c>
      <c r="G382" s="100">
        <v>-19</v>
      </c>
      <c r="H382" s="100">
        <v>1</v>
      </c>
      <c r="I382" s="100">
        <v>-39</v>
      </c>
      <c r="K382" s="105">
        <v>45231</v>
      </c>
      <c r="L382" s="100">
        <v>23.077</v>
      </c>
      <c r="M382" s="106">
        <v>14.42</v>
      </c>
      <c r="N382" s="100">
        <v>60</v>
      </c>
      <c r="O382" s="100">
        <v>45</v>
      </c>
      <c r="P382" s="100">
        <v>66</v>
      </c>
      <c r="Q382" s="100">
        <v>25</v>
      </c>
      <c r="S382" s="105">
        <v>45231</v>
      </c>
      <c r="T382" s="106">
        <f t="shared" si="5"/>
        <v>-5.691</v>
      </c>
    </row>
    <row r="383" spans="3:20">
      <c r="C383" s="105">
        <v>45230</v>
      </c>
      <c r="D383" s="106">
        <v>8.795</v>
      </c>
      <c r="E383" s="100">
        <v>12.805</v>
      </c>
      <c r="F383" s="100">
        <v>-31</v>
      </c>
      <c r="G383" s="100">
        <v>-19</v>
      </c>
      <c r="H383" s="100">
        <v>1</v>
      </c>
      <c r="I383" s="100">
        <v>-39</v>
      </c>
      <c r="K383" s="105">
        <v>45230</v>
      </c>
      <c r="L383" s="100">
        <v>22.861</v>
      </c>
      <c r="M383" s="106">
        <v>14.242</v>
      </c>
      <c r="N383" s="100">
        <v>61</v>
      </c>
      <c r="O383" s="100">
        <v>45</v>
      </c>
      <c r="P383" s="100">
        <v>66</v>
      </c>
      <c r="Q383" s="100">
        <v>25</v>
      </c>
      <c r="S383" s="105">
        <v>45230</v>
      </c>
      <c r="T383" s="106">
        <f t="shared" si="5"/>
        <v>-5.447</v>
      </c>
    </row>
    <row r="384" spans="3:20">
      <c r="C384" s="105">
        <v>45229</v>
      </c>
      <c r="D384" s="106">
        <v>8.819</v>
      </c>
      <c r="E384" s="100">
        <v>12.803</v>
      </c>
      <c r="F384" s="100">
        <v>-31</v>
      </c>
      <c r="G384" s="100">
        <v>-19</v>
      </c>
      <c r="H384" s="100">
        <v>1</v>
      </c>
      <c r="I384" s="100">
        <v>-39</v>
      </c>
      <c r="K384" s="105">
        <v>45229</v>
      </c>
      <c r="L384" s="100">
        <v>22.772</v>
      </c>
      <c r="M384" s="106">
        <v>14.227</v>
      </c>
      <c r="N384" s="100">
        <v>60</v>
      </c>
      <c r="O384" s="100">
        <v>45</v>
      </c>
      <c r="P384" s="100">
        <v>66</v>
      </c>
      <c r="Q384" s="100">
        <v>25</v>
      </c>
      <c r="S384" s="105">
        <v>45229</v>
      </c>
      <c r="T384" s="106">
        <f t="shared" si="5"/>
        <v>-5.408</v>
      </c>
    </row>
    <row r="385" spans="3:20">
      <c r="C385" s="105">
        <v>45226</v>
      </c>
      <c r="D385" s="106">
        <v>8.708</v>
      </c>
      <c r="E385" s="100">
        <v>12.702</v>
      </c>
      <c r="F385" s="100">
        <v>-31</v>
      </c>
      <c r="G385" s="100">
        <v>-19</v>
      </c>
      <c r="H385" s="100">
        <v>1</v>
      </c>
      <c r="I385" s="100">
        <v>-39</v>
      </c>
      <c r="K385" s="105">
        <v>45226</v>
      </c>
      <c r="L385" s="100">
        <v>22.685</v>
      </c>
      <c r="M385" s="106">
        <v>14.128</v>
      </c>
      <c r="N385" s="100">
        <v>61</v>
      </c>
      <c r="O385" s="100">
        <v>45</v>
      </c>
      <c r="P385" s="100">
        <v>66</v>
      </c>
      <c r="Q385" s="100">
        <v>25</v>
      </c>
      <c r="S385" s="105">
        <v>45226</v>
      </c>
      <c r="T385" s="106">
        <f t="shared" si="5"/>
        <v>-5.42</v>
      </c>
    </row>
    <row r="386" spans="3:20">
      <c r="C386" s="105">
        <v>45225</v>
      </c>
      <c r="D386" s="106">
        <v>8.755</v>
      </c>
      <c r="E386" s="100">
        <v>12.926</v>
      </c>
      <c r="F386" s="100">
        <v>-32</v>
      </c>
      <c r="G386" s="100">
        <v>-19</v>
      </c>
      <c r="H386" s="100">
        <v>1</v>
      </c>
      <c r="I386" s="100">
        <v>-39</v>
      </c>
      <c r="K386" s="105">
        <v>45225</v>
      </c>
      <c r="L386" s="100">
        <v>22.965</v>
      </c>
      <c r="M386" s="106">
        <v>14.36</v>
      </c>
      <c r="N386" s="100">
        <v>60</v>
      </c>
      <c r="O386" s="100">
        <v>45</v>
      </c>
      <c r="P386" s="100">
        <v>66</v>
      </c>
      <c r="Q386" s="100">
        <v>25</v>
      </c>
      <c r="S386" s="105">
        <v>45225</v>
      </c>
      <c r="T386" s="106">
        <f t="shared" si="5"/>
        <v>-5.605</v>
      </c>
    </row>
    <row r="387" spans="3:20">
      <c r="C387" s="105">
        <v>45224</v>
      </c>
      <c r="D387" s="106">
        <v>8.72</v>
      </c>
      <c r="E387" s="100">
        <v>13.074</v>
      </c>
      <c r="F387" s="100">
        <v>-33</v>
      </c>
      <c r="G387" s="100">
        <v>-19</v>
      </c>
      <c r="H387" s="100">
        <v>1</v>
      </c>
      <c r="I387" s="100">
        <v>-39</v>
      </c>
      <c r="K387" s="105">
        <v>45224</v>
      </c>
      <c r="L387" s="100">
        <v>22.912</v>
      </c>
      <c r="M387" s="106">
        <v>14.48</v>
      </c>
      <c r="N387" s="100">
        <v>58</v>
      </c>
      <c r="O387" s="100">
        <v>45</v>
      </c>
      <c r="P387" s="100">
        <v>66</v>
      </c>
      <c r="Q387" s="100">
        <v>25</v>
      </c>
      <c r="S387" s="105">
        <v>45224</v>
      </c>
      <c r="T387" s="106">
        <f t="shared" si="5"/>
        <v>-5.76</v>
      </c>
    </row>
    <row r="388" spans="3:20">
      <c r="C388" s="105">
        <v>45223</v>
      </c>
      <c r="D388" s="106">
        <v>8.914</v>
      </c>
      <c r="E388" s="100">
        <v>13.243</v>
      </c>
      <c r="F388" s="100">
        <v>-33</v>
      </c>
      <c r="G388" s="100">
        <v>-19</v>
      </c>
      <c r="H388" s="100">
        <v>1</v>
      </c>
      <c r="I388" s="100">
        <v>-39</v>
      </c>
      <c r="K388" s="105">
        <v>45223</v>
      </c>
      <c r="L388" s="100">
        <v>22.823</v>
      </c>
      <c r="M388" s="106">
        <v>14.612</v>
      </c>
      <c r="N388" s="100">
        <v>56</v>
      </c>
      <c r="O388" s="100">
        <v>45</v>
      </c>
      <c r="P388" s="100">
        <v>66</v>
      </c>
      <c r="Q388" s="100">
        <v>25</v>
      </c>
      <c r="S388" s="105">
        <v>45223</v>
      </c>
      <c r="T388" s="106">
        <f t="shared" si="5"/>
        <v>-5.698</v>
      </c>
    </row>
    <row r="389" spans="3:20">
      <c r="C389" s="105">
        <v>45222</v>
      </c>
      <c r="D389" s="106">
        <v>8.876</v>
      </c>
      <c r="E389" s="100">
        <v>13.187</v>
      </c>
      <c r="F389" s="100">
        <v>-33</v>
      </c>
      <c r="G389" s="100">
        <v>-19</v>
      </c>
      <c r="H389" s="100">
        <v>1</v>
      </c>
      <c r="I389" s="100">
        <v>-39</v>
      </c>
      <c r="K389" s="105">
        <v>45222</v>
      </c>
      <c r="L389" s="100">
        <v>22.647</v>
      </c>
      <c r="M389" s="106">
        <v>14.539</v>
      </c>
      <c r="N389" s="100">
        <v>56</v>
      </c>
      <c r="O389" s="100">
        <v>45</v>
      </c>
      <c r="P389" s="100">
        <v>66</v>
      </c>
      <c r="Q389" s="100">
        <v>25</v>
      </c>
      <c r="S389" s="105">
        <v>45222</v>
      </c>
      <c r="T389" s="106">
        <f t="shared" si="5"/>
        <v>-5.663</v>
      </c>
    </row>
    <row r="390" spans="3:20">
      <c r="C390" s="105">
        <v>45219</v>
      </c>
      <c r="D390" s="106">
        <v>8.74</v>
      </c>
      <c r="E390" s="100">
        <v>13.037</v>
      </c>
      <c r="F390" s="100">
        <v>-33</v>
      </c>
      <c r="G390" s="100">
        <v>-19</v>
      </c>
      <c r="H390" s="100">
        <v>1</v>
      </c>
      <c r="I390" s="100">
        <v>-39</v>
      </c>
      <c r="K390" s="105">
        <v>45219</v>
      </c>
      <c r="L390" s="100">
        <v>22.776</v>
      </c>
      <c r="M390" s="106">
        <v>14.428</v>
      </c>
      <c r="N390" s="100">
        <v>58</v>
      </c>
      <c r="O390" s="100">
        <v>45</v>
      </c>
      <c r="P390" s="100">
        <v>66</v>
      </c>
      <c r="Q390" s="100">
        <v>25</v>
      </c>
      <c r="S390" s="105">
        <v>45219</v>
      </c>
      <c r="T390" s="106">
        <f t="shared" si="5"/>
        <v>-5.688</v>
      </c>
    </row>
    <row r="391" spans="3:20">
      <c r="C391" s="105">
        <v>45218</v>
      </c>
      <c r="D391" s="106">
        <v>8.999</v>
      </c>
      <c r="E391" s="100">
        <v>13.249</v>
      </c>
      <c r="F391" s="100">
        <v>-32</v>
      </c>
      <c r="G391" s="100">
        <v>-19</v>
      </c>
      <c r="H391" s="100">
        <v>1</v>
      </c>
      <c r="I391" s="100">
        <v>-39</v>
      </c>
      <c r="K391" s="105">
        <v>45218</v>
      </c>
      <c r="L391" s="100">
        <v>22.794</v>
      </c>
      <c r="M391" s="106">
        <v>14.613</v>
      </c>
      <c r="N391" s="100">
        <v>56</v>
      </c>
      <c r="O391" s="100">
        <v>45</v>
      </c>
      <c r="P391" s="100">
        <v>66</v>
      </c>
      <c r="Q391" s="100">
        <v>25</v>
      </c>
      <c r="S391" s="105">
        <v>45218</v>
      </c>
      <c r="T391" s="106">
        <f t="shared" si="5"/>
        <v>-5.614</v>
      </c>
    </row>
    <row r="392" spans="3:20">
      <c r="C392" s="105">
        <v>45217</v>
      </c>
      <c r="D392" s="106">
        <v>9.244</v>
      </c>
      <c r="E392" s="100">
        <v>13.485</v>
      </c>
      <c r="F392" s="100">
        <v>-31</v>
      </c>
      <c r="G392" s="100">
        <v>-19</v>
      </c>
      <c r="H392" s="100">
        <v>1</v>
      </c>
      <c r="I392" s="100">
        <v>-39</v>
      </c>
      <c r="K392" s="105">
        <v>45217</v>
      </c>
      <c r="L392" s="100">
        <v>22.418</v>
      </c>
      <c r="M392" s="106">
        <v>14.761</v>
      </c>
      <c r="N392" s="100">
        <v>52</v>
      </c>
      <c r="O392" s="100">
        <v>45</v>
      </c>
      <c r="P392" s="100">
        <v>66</v>
      </c>
      <c r="Q392" s="100">
        <v>25</v>
      </c>
      <c r="S392" s="105">
        <v>45217</v>
      </c>
      <c r="T392" s="106">
        <f t="shared" si="5"/>
        <v>-5.517</v>
      </c>
    </row>
    <row r="393" spans="3:20">
      <c r="C393" s="105">
        <v>45216</v>
      </c>
      <c r="D393" s="106">
        <v>9.473</v>
      </c>
      <c r="E393" s="100">
        <v>13.644</v>
      </c>
      <c r="F393" s="100">
        <v>-31</v>
      </c>
      <c r="G393" s="100">
        <v>-19</v>
      </c>
      <c r="H393" s="100">
        <v>1</v>
      </c>
      <c r="I393" s="100">
        <v>-39</v>
      </c>
      <c r="K393" s="105">
        <v>45216</v>
      </c>
      <c r="L393" s="100">
        <v>22.76</v>
      </c>
      <c r="M393" s="106">
        <v>14.947</v>
      </c>
      <c r="N393" s="100">
        <v>52</v>
      </c>
      <c r="O393" s="100">
        <v>45</v>
      </c>
      <c r="P393" s="100">
        <v>66</v>
      </c>
      <c r="Q393" s="100">
        <v>25</v>
      </c>
      <c r="S393" s="105">
        <v>45216</v>
      </c>
      <c r="T393" s="106">
        <f t="shared" si="5"/>
        <v>-5.474</v>
      </c>
    </row>
    <row r="394" spans="3:20">
      <c r="C394" s="105">
        <v>45215</v>
      </c>
      <c r="D394" s="106">
        <v>9.276</v>
      </c>
      <c r="E394" s="100">
        <v>13.502</v>
      </c>
      <c r="F394" s="100">
        <v>-31</v>
      </c>
      <c r="G394" s="100">
        <v>-19</v>
      </c>
      <c r="H394" s="100">
        <v>1</v>
      </c>
      <c r="I394" s="100">
        <v>-39</v>
      </c>
      <c r="K394" s="105">
        <v>45215</v>
      </c>
      <c r="L394" s="100">
        <v>22.86</v>
      </c>
      <c r="M394" s="106">
        <v>14.839</v>
      </c>
      <c r="N394" s="100">
        <v>54</v>
      </c>
      <c r="O394" s="100">
        <v>45</v>
      </c>
      <c r="P394" s="100">
        <v>66</v>
      </c>
      <c r="Q394" s="100">
        <v>25</v>
      </c>
      <c r="S394" s="105">
        <v>45215</v>
      </c>
      <c r="T394" s="106">
        <f t="shared" si="5"/>
        <v>-5.563</v>
      </c>
    </row>
    <row r="395" spans="3:20">
      <c r="C395" s="105">
        <v>45212</v>
      </c>
      <c r="D395" s="106">
        <v>9.03</v>
      </c>
      <c r="E395" s="100">
        <v>13.23</v>
      </c>
      <c r="F395" s="100">
        <v>-32</v>
      </c>
      <c r="G395" s="100">
        <v>-19</v>
      </c>
      <c r="H395" s="100">
        <v>1</v>
      </c>
      <c r="I395" s="100">
        <v>-39</v>
      </c>
      <c r="K395" s="105">
        <v>45212</v>
      </c>
      <c r="L395" s="100">
        <v>22.846</v>
      </c>
      <c r="M395" s="106">
        <v>14.604</v>
      </c>
      <c r="N395" s="100">
        <v>56</v>
      </c>
      <c r="O395" s="100">
        <v>45</v>
      </c>
      <c r="P395" s="100">
        <v>66</v>
      </c>
      <c r="Q395" s="100">
        <v>25</v>
      </c>
      <c r="S395" s="105">
        <v>45212</v>
      </c>
      <c r="T395" s="106">
        <f t="shared" si="5"/>
        <v>-5.574</v>
      </c>
    </row>
    <row r="396" spans="3:20">
      <c r="C396" s="105">
        <v>45211</v>
      </c>
      <c r="D396" s="106">
        <v>9.489</v>
      </c>
      <c r="E396" s="100">
        <v>13.435</v>
      </c>
      <c r="F396" s="100">
        <v>-29</v>
      </c>
      <c r="G396" s="100">
        <v>-19</v>
      </c>
      <c r="H396" s="100">
        <v>1</v>
      </c>
      <c r="I396" s="100">
        <v>-39</v>
      </c>
      <c r="K396" s="105">
        <v>45211</v>
      </c>
      <c r="L396" s="100">
        <v>23.076</v>
      </c>
      <c r="M396" s="106">
        <v>14.813</v>
      </c>
      <c r="N396" s="100">
        <v>56</v>
      </c>
      <c r="O396" s="100">
        <v>45</v>
      </c>
      <c r="P396" s="100">
        <v>66</v>
      </c>
      <c r="Q396" s="100">
        <v>25</v>
      </c>
      <c r="S396" s="105">
        <v>45211</v>
      </c>
      <c r="T396" s="106">
        <f t="shared" si="5"/>
        <v>-5.324</v>
      </c>
    </row>
    <row r="397" spans="3:20">
      <c r="C397" s="105">
        <v>45210</v>
      </c>
      <c r="D397" s="106">
        <v>9.571</v>
      </c>
      <c r="E397" s="100">
        <v>13.444</v>
      </c>
      <c r="F397" s="100">
        <v>-29</v>
      </c>
      <c r="G397" s="100">
        <v>-19</v>
      </c>
      <c r="H397" s="100">
        <v>1</v>
      </c>
      <c r="I397" s="100">
        <v>-39</v>
      </c>
      <c r="K397" s="105">
        <v>45210</v>
      </c>
      <c r="L397" s="100">
        <v>22.975</v>
      </c>
      <c r="M397" s="106">
        <v>14.806</v>
      </c>
      <c r="N397" s="100">
        <v>55</v>
      </c>
      <c r="O397" s="100">
        <v>45</v>
      </c>
      <c r="P397" s="100">
        <v>66</v>
      </c>
      <c r="Q397" s="100">
        <v>25</v>
      </c>
      <c r="S397" s="105">
        <v>45210</v>
      </c>
      <c r="T397" s="106">
        <f t="shared" si="5"/>
        <v>-5.235</v>
      </c>
    </row>
    <row r="398" spans="3:20">
      <c r="C398" s="105">
        <v>45209</v>
      </c>
      <c r="D398" s="106">
        <v>9.959</v>
      </c>
      <c r="E398" s="100">
        <v>13.754</v>
      </c>
      <c r="F398" s="100">
        <v>-28</v>
      </c>
      <c r="G398" s="100">
        <v>-19</v>
      </c>
      <c r="H398" s="100">
        <v>1</v>
      </c>
      <c r="I398" s="100">
        <v>-39</v>
      </c>
      <c r="K398" s="105">
        <v>45209</v>
      </c>
      <c r="L398" s="100">
        <v>22.962</v>
      </c>
      <c r="M398" s="106">
        <v>15.07</v>
      </c>
      <c r="N398" s="100">
        <v>52</v>
      </c>
      <c r="O398" s="100">
        <v>45</v>
      </c>
      <c r="P398" s="100">
        <v>66</v>
      </c>
      <c r="Q398" s="100">
        <v>25</v>
      </c>
      <c r="S398" s="105">
        <v>45209</v>
      </c>
      <c r="T398" s="106">
        <f t="shared" si="5"/>
        <v>-5.111</v>
      </c>
    </row>
    <row r="399" spans="3:20">
      <c r="C399" s="105">
        <v>45208</v>
      </c>
      <c r="D399" s="106">
        <v>9.59</v>
      </c>
      <c r="E399" s="100">
        <v>13.502</v>
      </c>
      <c r="F399" s="100">
        <v>-29</v>
      </c>
      <c r="G399" s="100">
        <v>-19</v>
      </c>
      <c r="H399" s="100">
        <v>1</v>
      </c>
      <c r="I399" s="100">
        <v>-39</v>
      </c>
      <c r="K399" s="105">
        <v>45208</v>
      </c>
      <c r="L399" s="100">
        <v>22.661</v>
      </c>
      <c r="M399" s="106">
        <v>14.811</v>
      </c>
      <c r="N399" s="100">
        <v>53</v>
      </c>
      <c r="O399" s="100">
        <v>45</v>
      </c>
      <c r="P399" s="100">
        <v>66</v>
      </c>
      <c r="Q399" s="100">
        <v>25</v>
      </c>
      <c r="S399" s="105">
        <v>45208</v>
      </c>
      <c r="T399" s="106">
        <f t="shared" si="5"/>
        <v>-5.221</v>
      </c>
    </row>
    <row r="400" spans="3:20">
      <c r="C400" s="105">
        <v>45205</v>
      </c>
      <c r="D400" s="106">
        <v>9.902</v>
      </c>
      <c r="E400" s="100">
        <v>13.769</v>
      </c>
      <c r="F400" s="100">
        <v>-28</v>
      </c>
      <c r="G400" s="100">
        <v>-19</v>
      </c>
      <c r="H400" s="100">
        <v>1</v>
      </c>
      <c r="I400" s="100">
        <v>-39</v>
      </c>
      <c r="K400" s="105">
        <v>45205</v>
      </c>
      <c r="L400" s="100">
        <v>22.764</v>
      </c>
      <c r="M400" s="106">
        <v>15.054</v>
      </c>
      <c r="N400" s="100">
        <v>51</v>
      </c>
      <c r="O400" s="100">
        <v>45</v>
      </c>
      <c r="P400" s="100">
        <v>66</v>
      </c>
      <c r="Q400" s="100">
        <v>25</v>
      </c>
      <c r="S400" s="105">
        <v>45205</v>
      </c>
      <c r="T400" s="106">
        <f t="shared" si="5"/>
        <v>-5.152</v>
      </c>
    </row>
    <row r="401" spans="3:20">
      <c r="C401" s="105">
        <v>45204</v>
      </c>
      <c r="D401" s="106">
        <v>9.687</v>
      </c>
      <c r="E401" s="100">
        <v>13.421</v>
      </c>
      <c r="F401" s="100">
        <v>-28</v>
      </c>
      <c r="G401" s="100">
        <v>-19</v>
      </c>
      <c r="H401" s="100">
        <v>1</v>
      </c>
      <c r="I401" s="100">
        <v>-39</v>
      </c>
      <c r="K401" s="105">
        <v>45204</v>
      </c>
      <c r="L401" s="100">
        <v>22.472</v>
      </c>
      <c r="M401" s="106">
        <v>14.714</v>
      </c>
      <c r="N401" s="100">
        <v>53</v>
      </c>
      <c r="O401" s="100">
        <v>45</v>
      </c>
      <c r="P401" s="100">
        <v>66</v>
      </c>
      <c r="Q401" s="100">
        <v>25</v>
      </c>
      <c r="S401" s="105">
        <v>45204</v>
      </c>
      <c r="T401" s="106">
        <f t="shared" si="5"/>
        <v>-5.027</v>
      </c>
    </row>
    <row r="402" spans="3:20">
      <c r="C402" s="105">
        <v>45203</v>
      </c>
      <c r="D402" s="106">
        <v>9.987</v>
      </c>
      <c r="E402" s="100">
        <v>13.501</v>
      </c>
      <c r="F402" s="100">
        <v>-26</v>
      </c>
      <c r="G402" s="100">
        <v>-19</v>
      </c>
      <c r="H402" s="100">
        <v>1</v>
      </c>
      <c r="I402" s="100">
        <v>-39</v>
      </c>
      <c r="K402" s="105">
        <v>45203</v>
      </c>
      <c r="L402" s="100">
        <v>22.424</v>
      </c>
      <c r="M402" s="106">
        <v>14.776</v>
      </c>
      <c r="N402" s="100">
        <v>52</v>
      </c>
      <c r="O402" s="100">
        <v>45</v>
      </c>
      <c r="P402" s="100">
        <v>66</v>
      </c>
      <c r="Q402" s="100">
        <v>25</v>
      </c>
      <c r="S402" s="105">
        <v>45203</v>
      </c>
      <c r="T402" s="106">
        <f t="shared" si="5"/>
        <v>-4.789</v>
      </c>
    </row>
    <row r="403" spans="3:20">
      <c r="C403" s="105">
        <v>45202</v>
      </c>
      <c r="D403" s="106">
        <v>10.082</v>
      </c>
      <c r="E403" s="100">
        <v>13.651</v>
      </c>
      <c r="F403" s="100">
        <v>-26</v>
      </c>
      <c r="G403" s="100">
        <v>-19</v>
      </c>
      <c r="H403" s="100">
        <v>1</v>
      </c>
      <c r="I403" s="100">
        <v>-39</v>
      </c>
      <c r="K403" s="105">
        <v>45202</v>
      </c>
      <c r="L403" s="100">
        <v>22.679</v>
      </c>
      <c r="M403" s="106">
        <v>14.941</v>
      </c>
      <c r="N403" s="100">
        <v>52</v>
      </c>
      <c r="O403" s="100">
        <v>45</v>
      </c>
      <c r="P403" s="100">
        <v>66</v>
      </c>
      <c r="Q403" s="100">
        <v>25</v>
      </c>
      <c r="S403" s="105">
        <v>45202</v>
      </c>
      <c r="T403" s="106">
        <f t="shared" si="5"/>
        <v>-4.859</v>
      </c>
    </row>
    <row r="404" spans="3:20">
      <c r="C404" s="105">
        <v>45201</v>
      </c>
      <c r="D404" s="106">
        <v>10.329</v>
      </c>
      <c r="E404" s="100">
        <v>13.93</v>
      </c>
      <c r="F404" s="100">
        <v>-26</v>
      </c>
      <c r="G404" s="100">
        <v>-19</v>
      </c>
      <c r="H404" s="100">
        <v>1</v>
      </c>
      <c r="I404" s="100">
        <v>-39</v>
      </c>
      <c r="K404" s="105">
        <v>45201</v>
      </c>
      <c r="L404" s="100">
        <v>22.806</v>
      </c>
      <c r="M404" s="106">
        <v>15.198</v>
      </c>
      <c r="N404" s="100">
        <v>50</v>
      </c>
      <c r="O404" s="100">
        <v>45</v>
      </c>
      <c r="P404" s="100">
        <v>66</v>
      </c>
      <c r="Q404" s="100">
        <v>25</v>
      </c>
      <c r="S404" s="105">
        <v>45201</v>
      </c>
      <c r="T404" s="106">
        <f t="shared" si="5"/>
        <v>-4.869</v>
      </c>
    </row>
    <row r="405" spans="3:20">
      <c r="C405" s="105">
        <v>45198</v>
      </c>
      <c r="D405" s="106">
        <v>10.307</v>
      </c>
      <c r="E405" s="100">
        <v>13.913</v>
      </c>
      <c r="F405" s="100">
        <v>-26</v>
      </c>
      <c r="G405" s="100">
        <v>-19</v>
      </c>
      <c r="H405" s="100">
        <v>1</v>
      </c>
      <c r="I405" s="100">
        <v>-39</v>
      </c>
      <c r="K405" s="105">
        <v>45198</v>
      </c>
      <c r="L405" s="100">
        <v>22.949</v>
      </c>
      <c r="M405" s="106">
        <v>15.204</v>
      </c>
      <c r="N405" s="100">
        <v>51</v>
      </c>
      <c r="O405" s="100">
        <v>45</v>
      </c>
      <c r="P405" s="100">
        <v>66</v>
      </c>
      <c r="Q405" s="100">
        <v>25</v>
      </c>
      <c r="S405" s="105">
        <v>45198</v>
      </c>
      <c r="T405" s="106">
        <f t="shared" si="5"/>
        <v>-4.897</v>
      </c>
    </row>
    <row r="406" spans="3:20">
      <c r="C406" s="105">
        <v>45197</v>
      </c>
      <c r="D406" s="106">
        <v>9.838</v>
      </c>
      <c r="E406" s="100">
        <v>13.798</v>
      </c>
      <c r="F406" s="100">
        <v>-29</v>
      </c>
      <c r="G406" s="100">
        <v>-19</v>
      </c>
      <c r="H406" s="100">
        <v>1</v>
      </c>
      <c r="I406" s="100">
        <v>-39</v>
      </c>
      <c r="K406" s="105">
        <v>45197</v>
      </c>
      <c r="L406" s="100">
        <v>22.973</v>
      </c>
      <c r="M406" s="106">
        <v>15.109</v>
      </c>
      <c r="N406" s="100">
        <v>52</v>
      </c>
      <c r="O406" s="100">
        <v>45</v>
      </c>
      <c r="P406" s="100">
        <v>66</v>
      </c>
      <c r="Q406" s="100">
        <v>25</v>
      </c>
      <c r="S406" s="105">
        <v>45197</v>
      </c>
      <c r="T406" s="106">
        <f t="shared" ref="T406:T469" si="6">D406-M406</f>
        <v>-5.271</v>
      </c>
    </row>
    <row r="407" spans="3:20">
      <c r="C407" s="105">
        <v>45196</v>
      </c>
      <c r="D407" s="106">
        <v>9.944</v>
      </c>
      <c r="E407" s="100">
        <v>13.98</v>
      </c>
      <c r="F407" s="100">
        <v>-29</v>
      </c>
      <c r="G407" s="100">
        <v>-19</v>
      </c>
      <c r="H407" s="100">
        <v>1</v>
      </c>
      <c r="I407" s="100">
        <v>-39</v>
      </c>
      <c r="K407" s="105">
        <v>45196</v>
      </c>
      <c r="L407" s="100">
        <v>23.043</v>
      </c>
      <c r="M407" s="106">
        <v>15.274</v>
      </c>
      <c r="N407" s="100">
        <v>51</v>
      </c>
      <c r="O407" s="100">
        <v>45</v>
      </c>
      <c r="P407" s="100">
        <v>66</v>
      </c>
      <c r="Q407" s="100">
        <v>25</v>
      </c>
      <c r="S407" s="105">
        <v>45196</v>
      </c>
      <c r="T407" s="106">
        <f t="shared" si="6"/>
        <v>-5.33</v>
      </c>
    </row>
    <row r="408" spans="3:20">
      <c r="C408" s="105">
        <v>45195</v>
      </c>
      <c r="D408" s="106">
        <v>10.031</v>
      </c>
      <c r="E408" s="100">
        <v>13.925</v>
      </c>
      <c r="F408" s="100">
        <v>-28</v>
      </c>
      <c r="G408" s="100">
        <v>-19</v>
      </c>
      <c r="H408" s="100">
        <v>1</v>
      </c>
      <c r="I408" s="100">
        <v>-39</v>
      </c>
      <c r="K408" s="105">
        <v>45195</v>
      </c>
      <c r="L408" s="100">
        <v>23.147</v>
      </c>
      <c r="M408" s="106">
        <v>15.243</v>
      </c>
      <c r="N408" s="100">
        <v>52</v>
      </c>
      <c r="O408" s="100">
        <v>45</v>
      </c>
      <c r="P408" s="100">
        <v>66</v>
      </c>
      <c r="Q408" s="100">
        <v>25</v>
      </c>
      <c r="S408" s="105">
        <v>45195</v>
      </c>
      <c r="T408" s="106">
        <f t="shared" si="6"/>
        <v>-5.212</v>
      </c>
    </row>
    <row r="409" spans="3:20">
      <c r="C409" s="105">
        <v>45194</v>
      </c>
      <c r="D409" s="106">
        <v>10.043</v>
      </c>
      <c r="E409" s="100">
        <v>14.039</v>
      </c>
      <c r="F409" s="100">
        <v>-28</v>
      </c>
      <c r="G409" s="100">
        <v>-19</v>
      </c>
      <c r="H409" s="100">
        <v>1</v>
      </c>
      <c r="I409" s="100">
        <v>-39</v>
      </c>
      <c r="K409" s="105">
        <v>45194</v>
      </c>
      <c r="L409" s="100">
        <v>23.182</v>
      </c>
      <c r="M409" s="106">
        <v>15.345</v>
      </c>
      <c r="N409" s="100">
        <v>51</v>
      </c>
      <c r="O409" s="100">
        <v>45</v>
      </c>
      <c r="P409" s="100">
        <v>66</v>
      </c>
      <c r="Q409" s="100">
        <v>25</v>
      </c>
      <c r="S409" s="105">
        <v>45194</v>
      </c>
      <c r="T409" s="106">
        <f t="shared" si="6"/>
        <v>-5.302</v>
      </c>
    </row>
    <row r="410" spans="3:20">
      <c r="C410" s="105">
        <v>45191</v>
      </c>
      <c r="D410" s="106">
        <v>10.144</v>
      </c>
      <c r="E410" s="100">
        <v>14.162</v>
      </c>
      <c r="F410" s="100">
        <v>-28</v>
      </c>
      <c r="G410" s="100">
        <v>-19</v>
      </c>
      <c r="H410" s="100">
        <v>1</v>
      </c>
      <c r="I410" s="100">
        <v>-39</v>
      </c>
      <c r="K410" s="105">
        <v>45191</v>
      </c>
      <c r="L410" s="100">
        <v>23.379</v>
      </c>
      <c r="M410" s="106">
        <v>15.479</v>
      </c>
      <c r="N410" s="100">
        <v>51</v>
      </c>
      <c r="O410" s="100">
        <v>45</v>
      </c>
      <c r="P410" s="100">
        <v>66</v>
      </c>
      <c r="Q410" s="100">
        <v>25</v>
      </c>
      <c r="S410" s="105">
        <v>45191</v>
      </c>
      <c r="T410" s="106">
        <f t="shared" si="6"/>
        <v>-5.335</v>
      </c>
    </row>
    <row r="411" spans="3:20">
      <c r="C411" s="105">
        <v>45190</v>
      </c>
      <c r="D411" s="106">
        <v>10.002</v>
      </c>
      <c r="E411" s="100">
        <v>14.223</v>
      </c>
      <c r="F411" s="100">
        <v>-30</v>
      </c>
      <c r="G411" s="100">
        <v>-19</v>
      </c>
      <c r="H411" s="100">
        <v>1</v>
      </c>
      <c r="I411" s="100">
        <v>-39</v>
      </c>
      <c r="K411" s="105">
        <v>45190</v>
      </c>
      <c r="L411" s="100">
        <v>23.28</v>
      </c>
      <c r="M411" s="106">
        <v>15.517</v>
      </c>
      <c r="N411" s="100">
        <v>50</v>
      </c>
      <c r="O411" s="100">
        <v>45</v>
      </c>
      <c r="P411" s="100">
        <v>66</v>
      </c>
      <c r="Q411" s="100">
        <v>25</v>
      </c>
      <c r="S411" s="105">
        <v>45190</v>
      </c>
      <c r="T411" s="106">
        <f t="shared" si="6"/>
        <v>-5.515</v>
      </c>
    </row>
    <row r="412" spans="3:20">
      <c r="C412" s="105">
        <v>45189</v>
      </c>
      <c r="D412" s="106">
        <v>9.243</v>
      </c>
      <c r="E412" s="100">
        <v>14.134</v>
      </c>
      <c r="F412" s="100">
        <v>-35</v>
      </c>
      <c r="G412" s="100">
        <v>-19</v>
      </c>
      <c r="H412" s="100">
        <v>1</v>
      </c>
      <c r="I412" s="100">
        <v>-39</v>
      </c>
      <c r="K412" s="105">
        <v>45189</v>
      </c>
      <c r="L412" s="100">
        <v>23.413</v>
      </c>
      <c r="M412" s="106">
        <v>15.46</v>
      </c>
      <c r="N412" s="100">
        <v>51</v>
      </c>
      <c r="O412" s="100">
        <v>45</v>
      </c>
      <c r="P412" s="100">
        <v>66</v>
      </c>
      <c r="Q412" s="100">
        <v>25</v>
      </c>
      <c r="S412" s="105">
        <v>45189</v>
      </c>
      <c r="T412" s="106">
        <f t="shared" si="6"/>
        <v>-6.217</v>
      </c>
    </row>
    <row r="413" spans="3:20">
      <c r="C413" s="105">
        <v>45188</v>
      </c>
      <c r="D413" s="106">
        <v>9.279</v>
      </c>
      <c r="E413" s="100">
        <v>14.019</v>
      </c>
      <c r="F413" s="100">
        <v>-34</v>
      </c>
      <c r="G413" s="100">
        <v>-19</v>
      </c>
      <c r="H413" s="100">
        <v>1</v>
      </c>
      <c r="I413" s="100">
        <v>-39</v>
      </c>
      <c r="K413" s="105">
        <v>45188</v>
      </c>
      <c r="L413" s="100">
        <v>23.547</v>
      </c>
      <c r="M413" s="106">
        <v>15.38</v>
      </c>
      <c r="N413" s="100">
        <v>53</v>
      </c>
      <c r="O413" s="100">
        <v>45</v>
      </c>
      <c r="P413" s="100">
        <v>66</v>
      </c>
      <c r="Q413" s="100">
        <v>25</v>
      </c>
      <c r="S413" s="105">
        <v>45188</v>
      </c>
      <c r="T413" s="106">
        <f t="shared" si="6"/>
        <v>-6.101</v>
      </c>
    </row>
    <row r="414" spans="3:20">
      <c r="C414" s="105">
        <v>45187</v>
      </c>
      <c r="D414" s="106">
        <v>9.467</v>
      </c>
      <c r="E414" s="100">
        <v>14.17</v>
      </c>
      <c r="F414" s="100">
        <v>-33</v>
      </c>
      <c r="G414" s="100">
        <v>-19</v>
      </c>
      <c r="H414" s="100">
        <v>1</v>
      </c>
      <c r="I414" s="100">
        <v>-39</v>
      </c>
      <c r="K414" s="105">
        <v>45187</v>
      </c>
      <c r="L414" s="100">
        <v>23.473</v>
      </c>
      <c r="M414" s="106">
        <v>15.499</v>
      </c>
      <c r="N414" s="100">
        <v>51</v>
      </c>
      <c r="O414" s="100">
        <v>45</v>
      </c>
      <c r="P414" s="100">
        <v>66</v>
      </c>
      <c r="Q414" s="100">
        <v>25</v>
      </c>
      <c r="S414" s="105">
        <v>45187</v>
      </c>
      <c r="T414" s="106">
        <f t="shared" si="6"/>
        <v>-6.032</v>
      </c>
    </row>
    <row r="415" spans="3:20">
      <c r="C415" s="105">
        <v>45184</v>
      </c>
      <c r="D415" s="106">
        <v>9.642</v>
      </c>
      <c r="E415" s="100">
        <v>14.395</v>
      </c>
      <c r="F415" s="100">
        <v>-33</v>
      </c>
      <c r="G415" s="100">
        <v>-19</v>
      </c>
      <c r="H415" s="100">
        <v>1</v>
      </c>
      <c r="I415" s="100">
        <v>-39</v>
      </c>
      <c r="K415" s="105">
        <v>45184</v>
      </c>
      <c r="L415" s="100">
        <v>23.436</v>
      </c>
      <c r="M415" s="106">
        <v>15.686</v>
      </c>
      <c r="N415" s="100">
        <v>49</v>
      </c>
      <c r="O415" s="100">
        <v>45</v>
      </c>
      <c r="P415" s="100">
        <v>66</v>
      </c>
      <c r="Q415" s="100">
        <v>25</v>
      </c>
      <c r="S415" s="105">
        <v>45184</v>
      </c>
      <c r="T415" s="106">
        <f t="shared" si="6"/>
        <v>-6.044</v>
      </c>
    </row>
    <row r="416" spans="3:20">
      <c r="C416" s="105">
        <v>45183</v>
      </c>
      <c r="D416" s="106">
        <v>9.714</v>
      </c>
      <c r="E416" s="100">
        <v>14.62</v>
      </c>
      <c r="F416" s="100">
        <v>-34</v>
      </c>
      <c r="G416" s="100">
        <v>-19</v>
      </c>
      <c r="H416" s="100">
        <v>1</v>
      </c>
      <c r="I416" s="100">
        <v>-39</v>
      </c>
      <c r="K416" s="105">
        <v>45183</v>
      </c>
      <c r="L416" s="100">
        <v>23.514</v>
      </c>
      <c r="M416" s="106">
        <v>15.891</v>
      </c>
      <c r="N416" s="100">
        <v>48</v>
      </c>
      <c r="O416" s="100">
        <v>45</v>
      </c>
      <c r="P416" s="100">
        <v>66</v>
      </c>
      <c r="Q416" s="100">
        <v>25</v>
      </c>
      <c r="S416" s="105">
        <v>45183</v>
      </c>
      <c r="T416" s="106">
        <f t="shared" si="6"/>
        <v>-6.177</v>
      </c>
    </row>
    <row r="417" spans="3:20">
      <c r="C417" s="105">
        <v>45182</v>
      </c>
      <c r="D417" s="106">
        <v>9.465</v>
      </c>
      <c r="E417" s="100">
        <v>14.548</v>
      </c>
      <c r="F417" s="100">
        <v>-35</v>
      </c>
      <c r="G417" s="100">
        <v>-19</v>
      </c>
      <c r="H417" s="100">
        <v>1</v>
      </c>
      <c r="I417" s="100">
        <v>-39</v>
      </c>
      <c r="K417" s="105">
        <v>45182</v>
      </c>
      <c r="L417" s="100">
        <v>23.19</v>
      </c>
      <c r="M417" s="106">
        <v>15.782</v>
      </c>
      <c r="N417" s="100">
        <v>47</v>
      </c>
      <c r="O417" s="100">
        <v>45</v>
      </c>
      <c r="P417" s="100">
        <v>66</v>
      </c>
      <c r="Q417" s="100">
        <v>25</v>
      </c>
      <c r="S417" s="105">
        <v>45182</v>
      </c>
      <c r="T417" s="106">
        <f t="shared" si="6"/>
        <v>-6.317</v>
      </c>
    </row>
    <row r="418" spans="3:20">
      <c r="C418" s="105">
        <v>45181</v>
      </c>
      <c r="D418" s="106">
        <v>9.708</v>
      </c>
      <c r="E418" s="100">
        <v>14.691</v>
      </c>
      <c r="F418" s="100">
        <v>-34</v>
      </c>
      <c r="G418" s="100">
        <v>-19</v>
      </c>
      <c r="H418" s="100">
        <v>1</v>
      </c>
      <c r="I418" s="100">
        <v>-39</v>
      </c>
      <c r="K418" s="105">
        <v>45181</v>
      </c>
      <c r="L418" s="100">
        <v>23.442</v>
      </c>
      <c r="M418" s="106">
        <v>15.941</v>
      </c>
      <c r="N418" s="100">
        <v>47</v>
      </c>
      <c r="O418" s="100">
        <v>45</v>
      </c>
      <c r="P418" s="100">
        <v>66</v>
      </c>
      <c r="Q418" s="100">
        <v>25</v>
      </c>
      <c r="S418" s="105">
        <v>45181</v>
      </c>
      <c r="T418" s="106">
        <f t="shared" si="6"/>
        <v>-6.233</v>
      </c>
    </row>
    <row r="419" spans="3:20">
      <c r="C419" s="105">
        <v>45180</v>
      </c>
      <c r="D419" s="106">
        <v>9.647</v>
      </c>
      <c r="E419" s="100">
        <v>14.635</v>
      </c>
      <c r="F419" s="100">
        <v>-34</v>
      </c>
      <c r="G419" s="100">
        <v>-19</v>
      </c>
      <c r="H419" s="100">
        <v>1</v>
      </c>
      <c r="I419" s="100">
        <v>-39</v>
      </c>
      <c r="K419" s="105">
        <v>45180</v>
      </c>
      <c r="L419" s="100">
        <v>23.356</v>
      </c>
      <c r="M419" s="106">
        <v>15.881</v>
      </c>
      <c r="N419" s="100">
        <v>47</v>
      </c>
      <c r="O419" s="100">
        <v>45</v>
      </c>
      <c r="P419" s="100">
        <v>66</v>
      </c>
      <c r="Q419" s="100">
        <v>25</v>
      </c>
      <c r="S419" s="105">
        <v>45180</v>
      </c>
      <c r="T419" s="106">
        <f t="shared" si="6"/>
        <v>-6.234</v>
      </c>
    </row>
    <row r="420" spans="3:20">
      <c r="C420" s="105">
        <v>45177</v>
      </c>
      <c r="D420" s="106">
        <v>9.535</v>
      </c>
      <c r="E420" s="100">
        <v>14.504</v>
      </c>
      <c r="F420" s="100">
        <v>-34</v>
      </c>
      <c r="G420" s="100">
        <v>-19</v>
      </c>
      <c r="H420" s="100">
        <v>1</v>
      </c>
      <c r="I420" s="100">
        <v>-39</v>
      </c>
      <c r="K420" s="105">
        <v>45177</v>
      </c>
      <c r="L420" s="100">
        <v>23.271</v>
      </c>
      <c r="M420" s="106">
        <v>15.757</v>
      </c>
      <c r="N420" s="100">
        <v>48</v>
      </c>
      <c r="O420" s="100">
        <v>45</v>
      </c>
      <c r="P420" s="100">
        <v>66</v>
      </c>
      <c r="Q420" s="100">
        <v>25</v>
      </c>
      <c r="S420" s="105">
        <v>45177</v>
      </c>
      <c r="T420" s="106">
        <f t="shared" si="6"/>
        <v>-6.222</v>
      </c>
    </row>
    <row r="421" spans="3:20">
      <c r="C421" s="105">
        <v>45176</v>
      </c>
      <c r="D421" s="106">
        <v>9.295</v>
      </c>
      <c r="E421" s="100">
        <v>14.386</v>
      </c>
      <c r="F421" s="100">
        <v>-35</v>
      </c>
      <c r="G421" s="100">
        <v>-19</v>
      </c>
      <c r="H421" s="100">
        <v>1</v>
      </c>
      <c r="I421" s="100">
        <v>-39</v>
      </c>
      <c r="K421" s="105">
        <v>45176</v>
      </c>
      <c r="L421" s="100">
        <v>23.016</v>
      </c>
      <c r="M421" s="106">
        <v>15.619</v>
      </c>
      <c r="N421" s="100">
        <v>47</v>
      </c>
      <c r="O421" s="100">
        <v>45</v>
      </c>
      <c r="P421" s="100">
        <v>66</v>
      </c>
      <c r="Q421" s="100">
        <v>25</v>
      </c>
      <c r="S421" s="105">
        <v>45176</v>
      </c>
      <c r="T421" s="106">
        <f t="shared" si="6"/>
        <v>-6.324</v>
      </c>
    </row>
    <row r="422" spans="3:20">
      <c r="C422" s="105">
        <v>45175</v>
      </c>
      <c r="D422" s="106">
        <v>9.661</v>
      </c>
      <c r="E422" s="100">
        <v>14.469</v>
      </c>
      <c r="F422" s="100">
        <v>-33</v>
      </c>
      <c r="G422" s="100">
        <v>-19</v>
      </c>
      <c r="H422" s="100">
        <v>1</v>
      </c>
      <c r="I422" s="100">
        <v>-39</v>
      </c>
      <c r="K422" s="105">
        <v>45175</v>
      </c>
      <c r="L422" s="100">
        <v>23.215</v>
      </c>
      <c r="M422" s="106">
        <v>15.718</v>
      </c>
      <c r="N422" s="100">
        <v>48</v>
      </c>
      <c r="O422" s="100">
        <v>45</v>
      </c>
      <c r="P422" s="100">
        <v>66</v>
      </c>
      <c r="Q422" s="100">
        <v>25</v>
      </c>
      <c r="S422" s="105">
        <v>45175</v>
      </c>
      <c r="T422" s="106">
        <f t="shared" si="6"/>
        <v>-6.057</v>
      </c>
    </row>
    <row r="423" spans="3:20">
      <c r="C423" s="105">
        <v>45174</v>
      </c>
      <c r="D423" s="106">
        <v>9.78</v>
      </c>
      <c r="E423" s="100">
        <v>14.633</v>
      </c>
      <c r="F423" s="100">
        <v>-33</v>
      </c>
      <c r="G423" s="100">
        <v>-19</v>
      </c>
      <c r="H423" s="100">
        <v>1</v>
      </c>
      <c r="I423" s="100">
        <v>-39</v>
      </c>
      <c r="K423" s="105">
        <v>45174</v>
      </c>
      <c r="L423" s="100">
        <v>22.983</v>
      </c>
      <c r="M423" s="106">
        <v>15.826</v>
      </c>
      <c r="N423" s="100">
        <v>45</v>
      </c>
      <c r="O423" s="100">
        <v>45</v>
      </c>
      <c r="P423" s="100">
        <v>66</v>
      </c>
      <c r="Q423" s="100">
        <v>25</v>
      </c>
      <c r="S423" s="105">
        <v>45174</v>
      </c>
      <c r="T423" s="106">
        <f t="shared" si="6"/>
        <v>-6.046</v>
      </c>
    </row>
    <row r="424" spans="3:20">
      <c r="C424" s="105">
        <v>45173</v>
      </c>
      <c r="D424" s="106">
        <v>9.895</v>
      </c>
      <c r="E424" s="100">
        <v>14.642</v>
      </c>
      <c r="F424" s="100">
        <v>-32</v>
      </c>
      <c r="G424" s="100">
        <v>-19</v>
      </c>
      <c r="H424" s="100">
        <v>1</v>
      </c>
      <c r="I424" s="100">
        <v>-39</v>
      </c>
      <c r="K424" s="105">
        <v>45173</v>
      </c>
      <c r="L424" s="100">
        <v>23.003</v>
      </c>
      <c r="M424" s="106">
        <v>15.836</v>
      </c>
      <c r="N424" s="100">
        <v>45</v>
      </c>
      <c r="O424" s="100">
        <v>45</v>
      </c>
      <c r="P424" s="100">
        <v>66</v>
      </c>
      <c r="Q424" s="100">
        <v>25</v>
      </c>
      <c r="S424" s="105">
        <v>45173</v>
      </c>
      <c r="T424" s="106">
        <f t="shared" si="6"/>
        <v>-5.941</v>
      </c>
    </row>
    <row r="425" spans="3:20">
      <c r="C425" s="105">
        <v>45170</v>
      </c>
      <c r="D425" s="106">
        <v>10.008</v>
      </c>
      <c r="E425" s="100">
        <v>14.695</v>
      </c>
      <c r="F425" s="100">
        <v>-32</v>
      </c>
      <c r="G425" s="100">
        <v>-19</v>
      </c>
      <c r="H425" s="100">
        <v>1</v>
      </c>
      <c r="I425" s="100">
        <v>-39</v>
      </c>
      <c r="K425" s="105">
        <v>45170</v>
      </c>
      <c r="L425" s="100">
        <v>23.042</v>
      </c>
      <c r="M425" s="106">
        <v>15.887</v>
      </c>
      <c r="N425" s="100">
        <v>45</v>
      </c>
      <c r="O425" s="100">
        <v>45</v>
      </c>
      <c r="P425" s="100">
        <v>66</v>
      </c>
      <c r="Q425" s="100">
        <v>25</v>
      </c>
      <c r="S425" s="105">
        <v>45170</v>
      </c>
      <c r="T425" s="106">
        <f t="shared" si="6"/>
        <v>-5.879</v>
      </c>
    </row>
    <row r="426" spans="3:20">
      <c r="C426" s="105">
        <v>45169</v>
      </c>
      <c r="D426" s="106">
        <v>10.094</v>
      </c>
      <c r="E426" s="100">
        <v>14.773</v>
      </c>
      <c r="F426" s="100">
        <v>-32</v>
      </c>
      <c r="G426" s="100">
        <v>-19</v>
      </c>
      <c r="H426" s="100">
        <v>1</v>
      </c>
      <c r="I426" s="100">
        <v>-39</v>
      </c>
      <c r="K426" s="105">
        <v>45169</v>
      </c>
      <c r="L426" s="100">
        <v>23.055</v>
      </c>
      <c r="M426" s="106">
        <v>15.956</v>
      </c>
      <c r="N426" s="100">
        <v>44</v>
      </c>
      <c r="O426" s="100">
        <v>45</v>
      </c>
      <c r="P426" s="100">
        <v>66</v>
      </c>
      <c r="Q426" s="100">
        <v>25</v>
      </c>
      <c r="S426" s="105">
        <v>45169</v>
      </c>
      <c r="T426" s="106">
        <f t="shared" si="6"/>
        <v>-5.862</v>
      </c>
    </row>
    <row r="427" spans="3:20">
      <c r="C427" s="105">
        <v>45168</v>
      </c>
      <c r="D427" s="106">
        <v>9.957</v>
      </c>
      <c r="E427" s="100">
        <v>14.628</v>
      </c>
      <c r="F427" s="100">
        <v>-32</v>
      </c>
      <c r="G427" s="100">
        <v>-19</v>
      </c>
      <c r="H427" s="100">
        <v>1</v>
      </c>
      <c r="I427" s="100">
        <v>-39</v>
      </c>
      <c r="K427" s="105">
        <v>45168</v>
      </c>
      <c r="L427" s="100">
        <v>23.112</v>
      </c>
      <c r="M427" s="106">
        <v>15.84</v>
      </c>
      <c r="N427" s="100">
        <v>46</v>
      </c>
      <c r="O427" s="100">
        <v>45</v>
      </c>
      <c r="P427" s="100">
        <v>66</v>
      </c>
      <c r="Q427" s="100">
        <v>25</v>
      </c>
      <c r="S427" s="105">
        <v>45168</v>
      </c>
      <c r="T427" s="106">
        <f t="shared" si="6"/>
        <v>-5.883</v>
      </c>
    </row>
    <row r="428" spans="3:20">
      <c r="C428" s="105">
        <v>45167</v>
      </c>
      <c r="D428" s="106">
        <v>10.087</v>
      </c>
      <c r="E428" s="100">
        <v>14.61</v>
      </c>
      <c r="F428" s="100">
        <v>-31</v>
      </c>
      <c r="G428" s="100">
        <v>-19</v>
      </c>
      <c r="H428" s="100">
        <v>1</v>
      </c>
      <c r="I428" s="100">
        <v>-39</v>
      </c>
      <c r="K428" s="105">
        <v>45167</v>
      </c>
      <c r="L428" s="100">
        <v>23.134</v>
      </c>
      <c r="M428" s="106">
        <v>15.828</v>
      </c>
      <c r="N428" s="100">
        <v>46</v>
      </c>
      <c r="O428" s="100">
        <v>45</v>
      </c>
      <c r="P428" s="100">
        <v>66</v>
      </c>
      <c r="Q428" s="100">
        <v>25</v>
      </c>
      <c r="S428" s="105">
        <v>45167</v>
      </c>
      <c r="T428" s="106">
        <f t="shared" si="6"/>
        <v>-5.741</v>
      </c>
    </row>
    <row r="429" spans="3:20">
      <c r="C429" s="105">
        <v>45163</v>
      </c>
      <c r="D429" s="106">
        <v>9.679</v>
      </c>
      <c r="E429" s="100">
        <v>14.349</v>
      </c>
      <c r="F429" s="100">
        <v>-33</v>
      </c>
      <c r="G429" s="100">
        <v>-19</v>
      </c>
      <c r="H429" s="100">
        <v>1</v>
      </c>
      <c r="I429" s="100">
        <v>-39</v>
      </c>
      <c r="K429" s="105">
        <v>45163</v>
      </c>
      <c r="L429" s="100">
        <v>23.11</v>
      </c>
      <c r="M429" s="106">
        <v>15.601</v>
      </c>
      <c r="N429" s="100">
        <v>48</v>
      </c>
      <c r="O429" s="100">
        <v>45</v>
      </c>
      <c r="P429" s="100">
        <v>66</v>
      </c>
      <c r="Q429" s="100">
        <v>25</v>
      </c>
      <c r="S429" s="105">
        <v>45163</v>
      </c>
      <c r="T429" s="106">
        <f t="shared" si="6"/>
        <v>-5.922</v>
      </c>
    </row>
    <row r="430" spans="3:20">
      <c r="C430" s="105">
        <v>45162</v>
      </c>
      <c r="D430" s="106">
        <v>9.744</v>
      </c>
      <c r="E430" s="100">
        <v>14.302</v>
      </c>
      <c r="F430" s="100">
        <v>-32</v>
      </c>
      <c r="G430" s="100">
        <v>-19</v>
      </c>
      <c r="H430" s="100">
        <v>1</v>
      </c>
      <c r="I430" s="100">
        <v>-39</v>
      </c>
      <c r="K430" s="105">
        <v>45162</v>
      </c>
      <c r="L430" s="100">
        <v>23.088</v>
      </c>
      <c r="M430" s="106">
        <v>15.557</v>
      </c>
      <c r="N430" s="100">
        <v>48</v>
      </c>
      <c r="O430" s="100">
        <v>45</v>
      </c>
      <c r="P430" s="100">
        <v>66</v>
      </c>
      <c r="Q430" s="100">
        <v>25</v>
      </c>
      <c r="S430" s="105">
        <v>45162</v>
      </c>
      <c r="T430" s="106">
        <f t="shared" si="6"/>
        <v>-5.813</v>
      </c>
    </row>
    <row r="431" spans="3:20">
      <c r="C431" s="105">
        <v>45161</v>
      </c>
      <c r="D431" s="106">
        <v>9.276</v>
      </c>
      <c r="E431" s="100">
        <v>14.337</v>
      </c>
      <c r="F431" s="100">
        <v>-35</v>
      </c>
      <c r="G431" s="100">
        <v>-19</v>
      </c>
      <c r="H431" s="100">
        <v>1</v>
      </c>
      <c r="I431" s="100">
        <v>-39</v>
      </c>
      <c r="K431" s="105">
        <v>45161</v>
      </c>
      <c r="L431" s="100">
        <v>22.971</v>
      </c>
      <c r="M431" s="106">
        <v>15.57</v>
      </c>
      <c r="N431" s="100">
        <v>48</v>
      </c>
      <c r="O431" s="100">
        <v>45</v>
      </c>
      <c r="P431" s="100">
        <v>66</v>
      </c>
      <c r="Q431" s="100">
        <v>25</v>
      </c>
      <c r="S431" s="105">
        <v>45161</v>
      </c>
      <c r="T431" s="106">
        <f t="shared" si="6"/>
        <v>-6.294</v>
      </c>
    </row>
    <row r="432" spans="3:20">
      <c r="C432" s="105">
        <v>45160</v>
      </c>
      <c r="D432" s="106">
        <v>9.81</v>
      </c>
      <c r="E432" s="100">
        <v>14.578</v>
      </c>
      <c r="F432" s="100">
        <v>-33</v>
      </c>
      <c r="G432" s="100">
        <v>-19</v>
      </c>
      <c r="H432" s="100">
        <v>1</v>
      </c>
      <c r="I432" s="100">
        <v>-39</v>
      </c>
      <c r="K432" s="105">
        <v>45160</v>
      </c>
      <c r="L432" s="100">
        <v>22.738</v>
      </c>
      <c r="M432" s="106">
        <v>15.744</v>
      </c>
      <c r="N432" s="100">
        <v>44</v>
      </c>
      <c r="O432" s="100">
        <v>45</v>
      </c>
      <c r="P432" s="100">
        <v>66</v>
      </c>
      <c r="Q432" s="100">
        <v>25</v>
      </c>
      <c r="S432" s="105">
        <v>45160</v>
      </c>
      <c r="T432" s="106">
        <f t="shared" si="6"/>
        <v>-5.934</v>
      </c>
    </row>
    <row r="433" spans="3:20">
      <c r="C433" s="105">
        <v>45159</v>
      </c>
      <c r="D433" s="106">
        <v>10.536</v>
      </c>
      <c r="E433" s="100">
        <v>14.668</v>
      </c>
      <c r="F433" s="100">
        <v>-28</v>
      </c>
      <c r="G433" s="100">
        <v>-19</v>
      </c>
      <c r="H433" s="100">
        <v>1</v>
      </c>
      <c r="I433" s="100">
        <v>-39</v>
      </c>
      <c r="K433" s="105">
        <v>45159</v>
      </c>
      <c r="L433" s="100">
        <v>22.821</v>
      </c>
      <c r="M433" s="106">
        <v>15.833</v>
      </c>
      <c r="N433" s="100">
        <v>44</v>
      </c>
      <c r="O433" s="100">
        <v>45</v>
      </c>
      <c r="P433" s="100">
        <v>66</v>
      </c>
      <c r="Q433" s="100">
        <v>25</v>
      </c>
      <c r="S433" s="105">
        <v>45159</v>
      </c>
      <c r="T433" s="106">
        <f t="shared" si="6"/>
        <v>-5.297</v>
      </c>
    </row>
    <row r="434" spans="3:20">
      <c r="C434" s="105">
        <v>45156</v>
      </c>
      <c r="D434" s="106">
        <v>10.448</v>
      </c>
      <c r="E434" s="100">
        <v>14.677</v>
      </c>
      <c r="F434" s="100">
        <v>-29</v>
      </c>
      <c r="G434" s="100">
        <v>-19</v>
      </c>
      <c r="H434" s="100">
        <v>1</v>
      </c>
      <c r="I434" s="100">
        <v>-39</v>
      </c>
      <c r="K434" s="105">
        <v>45156</v>
      </c>
      <c r="L434" s="100">
        <v>22.753</v>
      </c>
      <c r="M434" s="106">
        <v>15.83</v>
      </c>
      <c r="N434" s="100">
        <v>44</v>
      </c>
      <c r="O434" s="100">
        <v>45</v>
      </c>
      <c r="P434" s="100">
        <v>66</v>
      </c>
      <c r="Q434" s="100">
        <v>25</v>
      </c>
      <c r="S434" s="105">
        <v>45156</v>
      </c>
      <c r="T434" s="106">
        <f t="shared" si="6"/>
        <v>-5.382</v>
      </c>
    </row>
    <row r="435" spans="3:20">
      <c r="C435" s="105">
        <v>45155</v>
      </c>
      <c r="D435" s="106">
        <v>10.709</v>
      </c>
      <c r="E435" s="100">
        <v>14.854</v>
      </c>
      <c r="F435" s="100">
        <v>-28</v>
      </c>
      <c r="G435" s="100">
        <v>-19</v>
      </c>
      <c r="H435" s="100">
        <v>1</v>
      </c>
      <c r="I435" s="100">
        <v>-39</v>
      </c>
      <c r="K435" s="105">
        <v>45155</v>
      </c>
      <c r="L435" s="100">
        <v>22.867</v>
      </c>
      <c r="M435" s="106">
        <v>15.998</v>
      </c>
      <c r="N435" s="100">
        <v>43</v>
      </c>
      <c r="O435" s="100">
        <v>45</v>
      </c>
      <c r="P435" s="100">
        <v>66</v>
      </c>
      <c r="Q435" s="100">
        <v>25</v>
      </c>
      <c r="S435" s="105">
        <v>45155</v>
      </c>
      <c r="T435" s="106">
        <f t="shared" si="6"/>
        <v>-5.289</v>
      </c>
    </row>
    <row r="436" spans="3:20">
      <c r="C436" s="105">
        <v>45154</v>
      </c>
      <c r="D436" s="106">
        <v>10.729</v>
      </c>
      <c r="E436" s="100">
        <v>14.928</v>
      </c>
      <c r="F436" s="100">
        <v>-28</v>
      </c>
      <c r="G436" s="100">
        <v>-19</v>
      </c>
      <c r="H436" s="100">
        <v>1</v>
      </c>
      <c r="I436" s="100">
        <v>-39</v>
      </c>
      <c r="K436" s="105">
        <v>45154</v>
      </c>
      <c r="L436" s="100">
        <v>23.106</v>
      </c>
      <c r="M436" s="106">
        <v>16.096</v>
      </c>
      <c r="N436" s="100">
        <v>44</v>
      </c>
      <c r="O436" s="100">
        <v>45</v>
      </c>
      <c r="P436" s="100">
        <v>66</v>
      </c>
      <c r="Q436" s="100">
        <v>25</v>
      </c>
      <c r="S436" s="105">
        <v>45154</v>
      </c>
      <c r="T436" s="106">
        <f t="shared" si="6"/>
        <v>-5.367</v>
      </c>
    </row>
    <row r="437" spans="3:20">
      <c r="C437" s="105">
        <v>45153</v>
      </c>
      <c r="D437" s="106">
        <v>10.437</v>
      </c>
      <c r="E437" s="100">
        <v>14.79</v>
      </c>
      <c r="F437" s="100">
        <v>-29</v>
      </c>
      <c r="G437" s="100">
        <v>-19</v>
      </c>
      <c r="H437" s="100">
        <v>1</v>
      </c>
      <c r="I437" s="100">
        <v>-39</v>
      </c>
      <c r="K437" s="105">
        <v>45153</v>
      </c>
      <c r="L437" s="100">
        <v>23.235</v>
      </c>
      <c r="M437" s="106">
        <v>15.997</v>
      </c>
      <c r="N437" s="100">
        <v>45</v>
      </c>
      <c r="O437" s="100">
        <v>45</v>
      </c>
      <c r="P437" s="100">
        <v>66</v>
      </c>
      <c r="Q437" s="100">
        <v>25</v>
      </c>
      <c r="S437" s="105">
        <v>45153</v>
      </c>
      <c r="T437" s="106">
        <f t="shared" si="6"/>
        <v>-5.56</v>
      </c>
    </row>
    <row r="438" spans="3:20">
      <c r="C438" s="105">
        <v>45152</v>
      </c>
      <c r="D438" s="106">
        <v>10.235</v>
      </c>
      <c r="E438" s="100">
        <v>14.795</v>
      </c>
      <c r="F438" s="100">
        <v>-31</v>
      </c>
      <c r="G438" s="100">
        <v>-19</v>
      </c>
      <c r="H438" s="100">
        <v>1</v>
      </c>
      <c r="I438" s="100">
        <v>-39</v>
      </c>
      <c r="K438" s="105">
        <v>45152</v>
      </c>
      <c r="L438" s="100">
        <v>23.5</v>
      </c>
      <c r="M438" s="106">
        <v>16.039</v>
      </c>
      <c r="N438" s="100">
        <v>47</v>
      </c>
      <c r="O438" s="100">
        <v>45</v>
      </c>
      <c r="P438" s="100">
        <v>66</v>
      </c>
      <c r="Q438" s="100">
        <v>25</v>
      </c>
      <c r="S438" s="105">
        <v>45152</v>
      </c>
      <c r="T438" s="106">
        <f t="shared" si="6"/>
        <v>-5.804</v>
      </c>
    </row>
    <row r="439" spans="3:20">
      <c r="C439" s="105">
        <v>45149</v>
      </c>
      <c r="D439" s="106">
        <v>10.024</v>
      </c>
      <c r="E439" s="100">
        <v>14.714</v>
      </c>
      <c r="F439" s="100">
        <v>-32</v>
      </c>
      <c r="G439" s="100">
        <v>-19</v>
      </c>
      <c r="H439" s="100">
        <v>1</v>
      </c>
      <c r="I439" s="100">
        <v>-39</v>
      </c>
      <c r="K439" s="105">
        <v>45149</v>
      </c>
      <c r="L439" s="100">
        <v>23.462</v>
      </c>
      <c r="M439" s="106">
        <v>15.964</v>
      </c>
      <c r="N439" s="100">
        <v>47</v>
      </c>
      <c r="O439" s="100">
        <v>45</v>
      </c>
      <c r="P439" s="100">
        <v>66</v>
      </c>
      <c r="Q439" s="100">
        <v>25</v>
      </c>
      <c r="S439" s="105">
        <v>45149</v>
      </c>
      <c r="T439" s="106">
        <f t="shared" si="6"/>
        <v>-5.94</v>
      </c>
    </row>
    <row r="440" spans="3:20">
      <c r="C440" s="105">
        <v>45148</v>
      </c>
      <c r="D440" s="106">
        <v>10.229</v>
      </c>
      <c r="E440" s="100">
        <v>14.911</v>
      </c>
      <c r="F440" s="100">
        <v>-31</v>
      </c>
      <c r="G440" s="100">
        <v>-19</v>
      </c>
      <c r="H440" s="100">
        <v>1</v>
      </c>
      <c r="I440" s="100">
        <v>-39</v>
      </c>
      <c r="K440" s="105">
        <v>45148</v>
      </c>
      <c r="L440" s="100">
        <v>23.72</v>
      </c>
      <c r="M440" s="106">
        <v>16.169</v>
      </c>
      <c r="N440" s="100">
        <v>47</v>
      </c>
      <c r="O440" s="100">
        <v>45</v>
      </c>
      <c r="P440" s="100">
        <v>66</v>
      </c>
      <c r="Q440" s="100">
        <v>25</v>
      </c>
      <c r="S440" s="105">
        <v>45148</v>
      </c>
      <c r="T440" s="106">
        <f t="shared" si="6"/>
        <v>-5.94</v>
      </c>
    </row>
    <row r="441" spans="3:20">
      <c r="C441" s="105">
        <v>45147</v>
      </c>
      <c r="D441" s="106">
        <v>10.074</v>
      </c>
      <c r="E441" s="100">
        <v>14.752</v>
      </c>
      <c r="F441" s="100">
        <v>-32</v>
      </c>
      <c r="G441" s="100">
        <v>-19</v>
      </c>
      <c r="H441" s="100">
        <v>1</v>
      </c>
      <c r="I441" s="100">
        <v>-39</v>
      </c>
      <c r="K441" s="105">
        <v>45147</v>
      </c>
      <c r="L441" s="100">
        <v>23.461</v>
      </c>
      <c r="M441" s="106">
        <v>15.996</v>
      </c>
      <c r="N441" s="100">
        <v>47</v>
      </c>
      <c r="O441" s="100">
        <v>45</v>
      </c>
      <c r="P441" s="100">
        <v>66</v>
      </c>
      <c r="Q441" s="100">
        <v>25</v>
      </c>
      <c r="S441" s="105">
        <v>45147</v>
      </c>
      <c r="T441" s="106">
        <f t="shared" si="6"/>
        <v>-5.922</v>
      </c>
    </row>
    <row r="442" spans="3:20">
      <c r="C442" s="105">
        <v>45146</v>
      </c>
      <c r="D442" s="106">
        <v>10.222</v>
      </c>
      <c r="E442" s="100">
        <v>14.706</v>
      </c>
      <c r="F442" s="100">
        <v>-30</v>
      </c>
      <c r="G442" s="100">
        <v>-19</v>
      </c>
      <c r="H442" s="100">
        <v>1</v>
      </c>
      <c r="I442" s="100">
        <v>-39</v>
      </c>
      <c r="K442" s="105">
        <v>45146</v>
      </c>
      <c r="L442" s="100">
        <v>23.471</v>
      </c>
      <c r="M442" s="106">
        <v>15.958</v>
      </c>
      <c r="N442" s="100">
        <v>47</v>
      </c>
      <c r="O442" s="100">
        <v>45</v>
      </c>
      <c r="P442" s="100">
        <v>66</v>
      </c>
      <c r="Q442" s="100">
        <v>25</v>
      </c>
      <c r="S442" s="105">
        <v>45146</v>
      </c>
      <c r="T442" s="106">
        <f t="shared" si="6"/>
        <v>-5.736</v>
      </c>
    </row>
    <row r="443" spans="3:20">
      <c r="C443" s="105">
        <v>45145</v>
      </c>
      <c r="D443" s="106">
        <v>10.283</v>
      </c>
      <c r="E443" s="100">
        <v>14.797</v>
      </c>
      <c r="F443" s="100">
        <v>-31</v>
      </c>
      <c r="G443" s="100">
        <v>-19</v>
      </c>
      <c r="H443" s="100">
        <v>1</v>
      </c>
      <c r="I443" s="100">
        <v>-39</v>
      </c>
      <c r="K443" s="105">
        <v>45145</v>
      </c>
      <c r="L443" s="100">
        <v>23.23</v>
      </c>
      <c r="M443" s="106">
        <v>16.002</v>
      </c>
      <c r="N443" s="100">
        <v>45</v>
      </c>
      <c r="O443" s="100">
        <v>45</v>
      </c>
      <c r="P443" s="100">
        <v>66</v>
      </c>
      <c r="Q443" s="100">
        <v>25</v>
      </c>
      <c r="S443" s="105">
        <v>45145</v>
      </c>
      <c r="T443" s="106">
        <f t="shared" si="6"/>
        <v>-5.719</v>
      </c>
    </row>
    <row r="444" spans="3:20">
      <c r="C444" s="105">
        <v>45142</v>
      </c>
      <c r="D444" s="106">
        <v>10.464</v>
      </c>
      <c r="E444" s="100">
        <v>14.887</v>
      </c>
      <c r="F444" s="100">
        <v>-30</v>
      </c>
      <c r="G444" s="100">
        <v>-19</v>
      </c>
      <c r="H444" s="100">
        <v>1</v>
      </c>
      <c r="I444" s="100">
        <v>-39</v>
      </c>
      <c r="K444" s="105">
        <v>45142</v>
      </c>
      <c r="L444" s="100">
        <v>23</v>
      </c>
      <c r="M444" s="106">
        <v>16.046</v>
      </c>
      <c r="N444" s="100">
        <v>43</v>
      </c>
      <c r="O444" s="100">
        <v>45</v>
      </c>
      <c r="P444" s="100">
        <v>66</v>
      </c>
      <c r="Q444" s="100">
        <v>25</v>
      </c>
      <c r="S444" s="105">
        <v>45142</v>
      </c>
      <c r="T444" s="106">
        <f t="shared" si="6"/>
        <v>-5.582</v>
      </c>
    </row>
    <row r="445" spans="3:20">
      <c r="C445" s="105">
        <v>45141</v>
      </c>
      <c r="D445" s="106">
        <v>10.568</v>
      </c>
      <c r="E445" s="100">
        <v>14.863</v>
      </c>
      <c r="F445" s="100">
        <v>-29</v>
      </c>
      <c r="G445" s="100">
        <v>-19</v>
      </c>
      <c r="H445" s="100">
        <v>1</v>
      </c>
      <c r="I445" s="100">
        <v>-39</v>
      </c>
      <c r="K445" s="105">
        <v>45141</v>
      </c>
      <c r="L445" s="100">
        <v>23.124</v>
      </c>
      <c r="M445" s="106">
        <v>16.043</v>
      </c>
      <c r="N445" s="100">
        <v>44</v>
      </c>
      <c r="O445" s="100">
        <v>45</v>
      </c>
      <c r="P445" s="100">
        <v>66</v>
      </c>
      <c r="Q445" s="100">
        <v>25</v>
      </c>
      <c r="S445" s="105">
        <v>45141</v>
      </c>
      <c r="T445" s="106">
        <f t="shared" si="6"/>
        <v>-5.475</v>
      </c>
    </row>
    <row r="446" spans="3:20">
      <c r="C446" s="105">
        <v>45140</v>
      </c>
      <c r="D446" s="106">
        <v>10.38</v>
      </c>
      <c r="E446" s="100">
        <v>14.933</v>
      </c>
      <c r="F446" s="100">
        <v>-30</v>
      </c>
      <c r="G446" s="100">
        <v>-19</v>
      </c>
      <c r="H446" s="100">
        <v>1</v>
      </c>
      <c r="I446" s="100">
        <v>-39</v>
      </c>
      <c r="K446" s="105">
        <v>45140</v>
      </c>
      <c r="L446" s="100">
        <v>23.299</v>
      </c>
      <c r="M446" s="106">
        <v>16.128</v>
      </c>
      <c r="N446" s="100">
        <v>44</v>
      </c>
      <c r="O446" s="100">
        <v>45</v>
      </c>
      <c r="P446" s="100">
        <v>66</v>
      </c>
      <c r="Q446" s="100">
        <v>25</v>
      </c>
      <c r="S446" s="105">
        <v>45140</v>
      </c>
      <c r="T446" s="106">
        <f t="shared" si="6"/>
        <v>-5.748</v>
      </c>
    </row>
    <row r="447" spans="3:20">
      <c r="C447" s="105">
        <v>45139</v>
      </c>
      <c r="D447" s="106">
        <v>10.717</v>
      </c>
      <c r="E447" s="100">
        <v>15.349</v>
      </c>
      <c r="F447" s="100">
        <v>-30</v>
      </c>
      <c r="G447" s="100">
        <v>-19</v>
      </c>
      <c r="H447" s="100">
        <v>1</v>
      </c>
      <c r="I447" s="100">
        <v>-39</v>
      </c>
      <c r="K447" s="105">
        <v>45139</v>
      </c>
      <c r="L447" s="100">
        <v>23.478</v>
      </c>
      <c r="M447" s="106">
        <v>16.51</v>
      </c>
      <c r="N447" s="100">
        <v>42</v>
      </c>
      <c r="O447" s="100">
        <v>45</v>
      </c>
      <c r="P447" s="100">
        <v>66</v>
      </c>
      <c r="Q447" s="100">
        <v>25</v>
      </c>
      <c r="S447" s="105">
        <v>45139</v>
      </c>
      <c r="T447" s="106">
        <f t="shared" si="6"/>
        <v>-5.793</v>
      </c>
    </row>
    <row r="448" spans="3:20">
      <c r="C448" s="105">
        <v>45138</v>
      </c>
      <c r="D448" s="106">
        <v>11.033</v>
      </c>
      <c r="E448" s="100">
        <v>15.58</v>
      </c>
      <c r="F448" s="100">
        <v>-29</v>
      </c>
      <c r="G448" s="100">
        <v>-19</v>
      </c>
      <c r="H448" s="100">
        <v>1</v>
      </c>
      <c r="I448" s="100">
        <v>-39</v>
      </c>
      <c r="K448" s="105">
        <v>45138</v>
      </c>
      <c r="L448" s="100">
        <v>23.814</v>
      </c>
      <c r="M448" s="106">
        <v>16.756</v>
      </c>
      <c r="N448" s="100">
        <v>42</v>
      </c>
      <c r="O448" s="100">
        <v>45</v>
      </c>
      <c r="P448" s="100">
        <v>66</v>
      </c>
      <c r="Q448" s="100">
        <v>25</v>
      </c>
      <c r="S448" s="105">
        <v>45138</v>
      </c>
      <c r="T448" s="106">
        <f t="shared" si="6"/>
        <v>-5.723</v>
      </c>
    </row>
    <row r="449" spans="3:20">
      <c r="C449" s="105">
        <v>45135</v>
      </c>
      <c r="D449" s="106">
        <v>11.072</v>
      </c>
      <c r="E449" s="100">
        <v>15.561</v>
      </c>
      <c r="F449" s="100">
        <v>-29</v>
      </c>
      <c r="G449" s="100">
        <v>-19</v>
      </c>
      <c r="H449" s="100">
        <v>1</v>
      </c>
      <c r="I449" s="100">
        <v>-39</v>
      </c>
      <c r="K449" s="105">
        <v>45135</v>
      </c>
      <c r="L449" s="100">
        <v>24.019</v>
      </c>
      <c r="M449" s="106">
        <v>16.77</v>
      </c>
      <c r="N449" s="100">
        <v>43</v>
      </c>
      <c r="O449" s="100">
        <v>45</v>
      </c>
      <c r="P449" s="100">
        <v>66</v>
      </c>
      <c r="Q449" s="100">
        <v>25</v>
      </c>
      <c r="S449" s="105">
        <v>45135</v>
      </c>
      <c r="T449" s="106">
        <f t="shared" si="6"/>
        <v>-5.698</v>
      </c>
    </row>
    <row r="450" spans="3:20">
      <c r="C450" s="105">
        <v>45134</v>
      </c>
      <c r="D450" s="106">
        <v>10.938</v>
      </c>
      <c r="E450" s="100">
        <v>15.586</v>
      </c>
      <c r="F450" s="100">
        <v>-30</v>
      </c>
      <c r="G450" s="100">
        <v>-19</v>
      </c>
      <c r="H450" s="100">
        <v>1</v>
      </c>
      <c r="I450" s="100">
        <v>-39</v>
      </c>
      <c r="K450" s="105">
        <v>45134</v>
      </c>
      <c r="L450" s="100">
        <v>23.879</v>
      </c>
      <c r="M450" s="106">
        <v>16.77</v>
      </c>
      <c r="N450" s="100">
        <v>42</v>
      </c>
      <c r="O450" s="100">
        <v>45</v>
      </c>
      <c r="P450" s="100">
        <v>66</v>
      </c>
      <c r="Q450" s="100">
        <v>25</v>
      </c>
      <c r="S450" s="105">
        <v>45134</v>
      </c>
      <c r="T450" s="106">
        <f t="shared" si="6"/>
        <v>-5.832</v>
      </c>
    </row>
    <row r="451" spans="3:20">
      <c r="C451" s="105">
        <v>45133</v>
      </c>
      <c r="D451" s="106">
        <v>10.786</v>
      </c>
      <c r="E451" s="100">
        <v>15.386</v>
      </c>
      <c r="F451" s="100">
        <v>-30</v>
      </c>
      <c r="G451" s="100">
        <v>-19</v>
      </c>
      <c r="H451" s="100">
        <v>1</v>
      </c>
      <c r="I451" s="100">
        <v>-39</v>
      </c>
      <c r="K451" s="105">
        <v>45133</v>
      </c>
      <c r="L451" s="100">
        <v>23.862</v>
      </c>
      <c r="M451" s="106">
        <v>16.597</v>
      </c>
      <c r="N451" s="100">
        <v>44</v>
      </c>
      <c r="O451" s="100">
        <v>45</v>
      </c>
      <c r="P451" s="100">
        <v>66</v>
      </c>
      <c r="Q451" s="100">
        <v>25</v>
      </c>
      <c r="S451" s="105">
        <v>45133</v>
      </c>
      <c r="T451" s="106">
        <f t="shared" si="6"/>
        <v>-5.811</v>
      </c>
    </row>
    <row r="452" spans="3:20">
      <c r="C452" s="105">
        <v>45132</v>
      </c>
      <c r="D452" s="106">
        <v>10.886</v>
      </c>
      <c r="E452" s="100">
        <v>15.364</v>
      </c>
      <c r="F452" s="100">
        <v>-29</v>
      </c>
      <c r="G452" s="100">
        <v>-19</v>
      </c>
      <c r="H452" s="100">
        <v>1</v>
      </c>
      <c r="I452" s="100">
        <v>-39</v>
      </c>
      <c r="K452" s="105">
        <v>45132</v>
      </c>
      <c r="L452" s="100">
        <v>23.675</v>
      </c>
      <c r="M452" s="106">
        <v>16.551</v>
      </c>
      <c r="N452" s="100">
        <v>43</v>
      </c>
      <c r="O452" s="100">
        <v>45</v>
      </c>
      <c r="P452" s="100">
        <v>66</v>
      </c>
      <c r="Q452" s="100">
        <v>25</v>
      </c>
      <c r="S452" s="105">
        <v>45132</v>
      </c>
      <c r="T452" s="106">
        <f t="shared" si="6"/>
        <v>-5.665</v>
      </c>
    </row>
    <row r="453" spans="3:20">
      <c r="C453" s="105">
        <v>45131</v>
      </c>
      <c r="D453" s="106">
        <v>11.018</v>
      </c>
      <c r="E453" s="100">
        <v>15.509</v>
      </c>
      <c r="F453" s="100">
        <v>-29</v>
      </c>
      <c r="G453" s="100">
        <v>-19</v>
      </c>
      <c r="H453" s="100">
        <v>1</v>
      </c>
      <c r="I453" s="100">
        <v>-39</v>
      </c>
      <c r="K453" s="105">
        <v>45131</v>
      </c>
      <c r="L453" s="100">
        <v>23.539</v>
      </c>
      <c r="M453" s="106">
        <v>16.656</v>
      </c>
      <c r="N453" s="100">
        <v>41</v>
      </c>
      <c r="O453" s="100">
        <v>45</v>
      </c>
      <c r="P453" s="100">
        <v>66</v>
      </c>
      <c r="Q453" s="100">
        <v>25</v>
      </c>
      <c r="S453" s="105">
        <v>45131</v>
      </c>
      <c r="T453" s="106">
        <f t="shared" si="6"/>
        <v>-5.638</v>
      </c>
    </row>
    <row r="454" spans="3:20">
      <c r="C454" s="105">
        <v>45128</v>
      </c>
      <c r="D454" s="106">
        <v>11.086</v>
      </c>
      <c r="E454" s="100">
        <v>15.629</v>
      </c>
      <c r="F454" s="100">
        <v>-29</v>
      </c>
      <c r="G454" s="100">
        <v>-19</v>
      </c>
      <c r="H454" s="100">
        <v>1</v>
      </c>
      <c r="I454" s="100">
        <v>-39</v>
      </c>
      <c r="K454" s="105">
        <v>45128</v>
      </c>
      <c r="L454" s="100">
        <v>23.448</v>
      </c>
      <c r="M454" s="106">
        <v>16.746</v>
      </c>
      <c r="N454" s="100">
        <v>40</v>
      </c>
      <c r="O454" s="100">
        <v>45</v>
      </c>
      <c r="P454" s="100">
        <v>66</v>
      </c>
      <c r="Q454" s="100">
        <v>25</v>
      </c>
      <c r="S454" s="105">
        <v>45128</v>
      </c>
      <c r="T454" s="106">
        <f t="shared" si="6"/>
        <v>-5.66</v>
      </c>
    </row>
    <row r="455" spans="3:20">
      <c r="C455" s="105">
        <v>45127</v>
      </c>
      <c r="D455" s="106">
        <v>11.089</v>
      </c>
      <c r="E455" s="100">
        <v>15.619</v>
      </c>
      <c r="F455" s="100">
        <v>-29</v>
      </c>
      <c r="G455" s="100">
        <v>-19</v>
      </c>
      <c r="H455" s="100">
        <v>1</v>
      </c>
      <c r="I455" s="100">
        <v>-39</v>
      </c>
      <c r="K455" s="105">
        <v>45127</v>
      </c>
      <c r="L455" s="100">
        <v>23.73</v>
      </c>
      <c r="M455" s="106">
        <v>16.777</v>
      </c>
      <c r="N455" s="100">
        <v>41</v>
      </c>
      <c r="O455" s="100">
        <v>45</v>
      </c>
      <c r="P455" s="100">
        <v>66</v>
      </c>
      <c r="Q455" s="100">
        <v>25</v>
      </c>
      <c r="S455" s="105">
        <v>45127</v>
      </c>
      <c r="T455" s="106">
        <f t="shared" si="6"/>
        <v>-5.688</v>
      </c>
    </row>
    <row r="456" spans="3:20">
      <c r="C456" s="105">
        <v>45126</v>
      </c>
      <c r="D456" s="106">
        <v>11.073</v>
      </c>
      <c r="E456" s="100">
        <v>15.57</v>
      </c>
      <c r="F456" s="100">
        <v>-29</v>
      </c>
      <c r="G456" s="100">
        <v>-19</v>
      </c>
      <c r="H456" s="100">
        <v>1</v>
      </c>
      <c r="I456" s="100">
        <v>-39</v>
      </c>
      <c r="K456" s="105">
        <v>45126</v>
      </c>
      <c r="L456" s="100">
        <v>23.674</v>
      </c>
      <c r="M456" s="106">
        <v>16.728</v>
      </c>
      <c r="N456" s="100">
        <v>42</v>
      </c>
      <c r="O456" s="100">
        <v>45</v>
      </c>
      <c r="P456" s="100">
        <v>66</v>
      </c>
      <c r="Q456" s="100">
        <v>25</v>
      </c>
      <c r="S456" s="105">
        <v>45126</v>
      </c>
      <c r="T456" s="106">
        <f t="shared" si="6"/>
        <v>-5.655</v>
      </c>
    </row>
    <row r="457" spans="3:20">
      <c r="C457" s="105">
        <v>45125</v>
      </c>
      <c r="D457" s="106">
        <v>10.835</v>
      </c>
      <c r="E457" s="100">
        <v>15.606</v>
      </c>
      <c r="F457" s="100">
        <v>-31</v>
      </c>
      <c r="G457" s="100">
        <v>-19</v>
      </c>
      <c r="H457" s="100">
        <v>1</v>
      </c>
      <c r="I457" s="100">
        <v>-39</v>
      </c>
      <c r="K457" s="105">
        <v>45125</v>
      </c>
      <c r="L457" s="100">
        <v>23.425</v>
      </c>
      <c r="M457" s="106">
        <v>16.723</v>
      </c>
      <c r="N457" s="100">
        <v>40</v>
      </c>
      <c r="O457" s="100">
        <v>45</v>
      </c>
      <c r="P457" s="100">
        <v>66</v>
      </c>
      <c r="Q457" s="100">
        <v>25</v>
      </c>
      <c r="S457" s="105">
        <v>45125</v>
      </c>
      <c r="T457" s="106">
        <f t="shared" si="6"/>
        <v>-5.888</v>
      </c>
    </row>
    <row r="458" spans="3:20">
      <c r="C458" s="105">
        <v>45124</v>
      </c>
      <c r="D458" s="106">
        <v>10.763</v>
      </c>
      <c r="E458" s="100">
        <v>15.489</v>
      </c>
      <c r="F458" s="100">
        <v>-31</v>
      </c>
      <c r="G458" s="100">
        <v>-19</v>
      </c>
      <c r="H458" s="100">
        <v>1</v>
      </c>
      <c r="I458" s="100">
        <v>-39</v>
      </c>
      <c r="K458" s="105">
        <v>45124</v>
      </c>
      <c r="L458" s="100">
        <v>23.412</v>
      </c>
      <c r="M458" s="106">
        <v>16.621</v>
      </c>
      <c r="N458" s="100">
        <v>41</v>
      </c>
      <c r="O458" s="100">
        <v>45</v>
      </c>
      <c r="P458" s="100">
        <v>66</v>
      </c>
      <c r="Q458" s="100">
        <v>25</v>
      </c>
      <c r="S458" s="105">
        <v>45124</v>
      </c>
      <c r="T458" s="106">
        <f t="shared" si="6"/>
        <v>-5.858</v>
      </c>
    </row>
    <row r="459" spans="3:20">
      <c r="C459" s="105">
        <v>45121</v>
      </c>
      <c r="D459" s="106">
        <v>10.727</v>
      </c>
      <c r="E459" s="100">
        <v>15.567</v>
      </c>
      <c r="F459" s="100">
        <v>-31</v>
      </c>
      <c r="G459" s="100">
        <v>-19</v>
      </c>
      <c r="H459" s="100">
        <v>1</v>
      </c>
      <c r="I459" s="100">
        <v>-39</v>
      </c>
      <c r="K459" s="105">
        <v>45121</v>
      </c>
      <c r="L459" s="100">
        <v>23.337</v>
      </c>
      <c r="M459" s="106">
        <v>16.677</v>
      </c>
      <c r="N459" s="100">
        <v>40</v>
      </c>
      <c r="O459" s="100">
        <v>45</v>
      </c>
      <c r="P459" s="100">
        <v>66</v>
      </c>
      <c r="Q459" s="100">
        <v>25</v>
      </c>
      <c r="S459" s="105">
        <v>45121</v>
      </c>
      <c r="T459" s="106">
        <f t="shared" si="6"/>
        <v>-5.95</v>
      </c>
    </row>
    <row r="460" spans="3:20">
      <c r="C460" s="105">
        <v>45120</v>
      </c>
      <c r="D460" s="106">
        <v>10.673</v>
      </c>
      <c r="E460" s="100">
        <v>15.628</v>
      </c>
      <c r="F460" s="100">
        <v>-32</v>
      </c>
      <c r="G460" s="100">
        <v>-19</v>
      </c>
      <c r="H460" s="100">
        <v>1</v>
      </c>
      <c r="I460" s="100">
        <v>-39</v>
      </c>
      <c r="K460" s="105">
        <v>45120</v>
      </c>
      <c r="L460" s="100">
        <v>22.785</v>
      </c>
      <c r="M460" s="106">
        <v>16.65</v>
      </c>
      <c r="N460" s="100">
        <v>37</v>
      </c>
      <c r="O460" s="100">
        <v>45</v>
      </c>
      <c r="P460" s="100">
        <v>66</v>
      </c>
      <c r="Q460" s="100">
        <v>25</v>
      </c>
      <c r="S460" s="105">
        <v>45120</v>
      </c>
      <c r="T460" s="106">
        <f t="shared" si="6"/>
        <v>-5.977</v>
      </c>
    </row>
    <row r="461" spans="3:20">
      <c r="C461" s="105">
        <v>45119</v>
      </c>
      <c r="D461" s="106">
        <v>10.604</v>
      </c>
      <c r="E461" s="100">
        <v>15.709</v>
      </c>
      <c r="F461" s="100">
        <v>-32</v>
      </c>
      <c r="G461" s="100">
        <v>-19</v>
      </c>
      <c r="H461" s="100">
        <v>1</v>
      </c>
      <c r="I461" s="100">
        <v>-39</v>
      </c>
      <c r="K461" s="105">
        <v>45119</v>
      </c>
      <c r="L461" s="100">
        <v>22.399</v>
      </c>
      <c r="M461" s="106">
        <v>16.664</v>
      </c>
      <c r="N461" s="100">
        <v>34</v>
      </c>
      <c r="O461" s="100">
        <v>45</v>
      </c>
      <c r="P461" s="100">
        <v>66</v>
      </c>
      <c r="Q461" s="100">
        <v>25</v>
      </c>
      <c r="S461" s="105">
        <v>45119</v>
      </c>
      <c r="T461" s="106">
        <f t="shared" si="6"/>
        <v>-6.06</v>
      </c>
    </row>
    <row r="462" spans="3:20">
      <c r="C462" s="105">
        <v>45118</v>
      </c>
      <c r="D462" s="106">
        <v>10.21</v>
      </c>
      <c r="E462" s="100">
        <v>15.353</v>
      </c>
      <c r="F462" s="100">
        <v>-33</v>
      </c>
      <c r="G462" s="100">
        <v>-19</v>
      </c>
      <c r="H462" s="100">
        <v>1</v>
      </c>
      <c r="I462" s="100">
        <v>-39</v>
      </c>
      <c r="K462" s="105">
        <v>45118</v>
      </c>
      <c r="L462" s="100">
        <v>22.46</v>
      </c>
      <c r="M462" s="106">
        <v>16.368</v>
      </c>
      <c r="N462" s="100">
        <v>37</v>
      </c>
      <c r="O462" s="100">
        <v>45</v>
      </c>
      <c r="P462" s="100">
        <v>66</v>
      </c>
      <c r="Q462" s="100">
        <v>25</v>
      </c>
      <c r="S462" s="105">
        <v>45118</v>
      </c>
      <c r="T462" s="106">
        <f t="shared" si="6"/>
        <v>-6.158</v>
      </c>
    </row>
    <row r="463" spans="3:20">
      <c r="C463" s="105">
        <v>45117</v>
      </c>
      <c r="D463" s="106">
        <v>9.971</v>
      </c>
      <c r="E463" s="100">
        <v>15.181</v>
      </c>
      <c r="F463" s="100">
        <v>-34</v>
      </c>
      <c r="G463" s="100">
        <v>-19</v>
      </c>
      <c r="H463" s="100">
        <v>1</v>
      </c>
      <c r="I463" s="100">
        <v>-39</v>
      </c>
      <c r="K463" s="105">
        <v>45117</v>
      </c>
      <c r="L463" s="100">
        <v>22.671</v>
      </c>
      <c r="M463" s="106">
        <v>16.251</v>
      </c>
      <c r="N463" s="100">
        <v>40</v>
      </c>
      <c r="O463" s="100">
        <v>45</v>
      </c>
      <c r="P463" s="100">
        <v>66</v>
      </c>
      <c r="Q463" s="100">
        <v>25</v>
      </c>
      <c r="S463" s="105">
        <v>45117</v>
      </c>
      <c r="T463" s="106">
        <f t="shared" si="6"/>
        <v>-6.28</v>
      </c>
    </row>
    <row r="464" spans="3:20">
      <c r="C464" s="105">
        <v>45114</v>
      </c>
      <c r="D464" s="106">
        <v>10.048</v>
      </c>
      <c r="E464" s="100">
        <v>15.237</v>
      </c>
      <c r="F464" s="100">
        <v>-34</v>
      </c>
      <c r="G464" s="100">
        <v>-19</v>
      </c>
      <c r="H464" s="100">
        <v>1</v>
      </c>
      <c r="I464" s="100">
        <v>-39</v>
      </c>
      <c r="K464" s="105">
        <v>45114</v>
      </c>
      <c r="L464" s="100">
        <v>22.818</v>
      </c>
      <c r="M464" s="106">
        <v>16.32</v>
      </c>
      <c r="N464" s="100">
        <v>40</v>
      </c>
      <c r="O464" s="100">
        <v>45</v>
      </c>
      <c r="P464" s="100">
        <v>66</v>
      </c>
      <c r="Q464" s="100">
        <v>25</v>
      </c>
      <c r="S464" s="105">
        <v>45114</v>
      </c>
      <c r="T464" s="106">
        <f t="shared" si="6"/>
        <v>-6.272</v>
      </c>
    </row>
    <row r="465" spans="3:20">
      <c r="C465" s="105">
        <v>45113</v>
      </c>
      <c r="D465" s="106">
        <v>9.836</v>
      </c>
      <c r="E465" s="100">
        <v>15.127</v>
      </c>
      <c r="F465" s="100">
        <v>-35</v>
      </c>
      <c r="G465" s="100">
        <v>-19</v>
      </c>
      <c r="H465" s="100">
        <v>1</v>
      </c>
      <c r="I465" s="100">
        <v>-39</v>
      </c>
      <c r="K465" s="105">
        <v>45113</v>
      </c>
      <c r="L465" s="100">
        <v>22.812</v>
      </c>
      <c r="M465" s="106">
        <v>16.225</v>
      </c>
      <c r="N465" s="100">
        <v>41</v>
      </c>
      <c r="O465" s="100">
        <v>45</v>
      </c>
      <c r="P465" s="100">
        <v>66</v>
      </c>
      <c r="Q465" s="100">
        <v>25</v>
      </c>
      <c r="S465" s="105">
        <v>45113</v>
      </c>
      <c r="T465" s="106">
        <f t="shared" si="6"/>
        <v>-6.389</v>
      </c>
    </row>
    <row r="466" spans="3:20">
      <c r="C466" s="105">
        <v>45112</v>
      </c>
      <c r="D466" s="106">
        <v>10.355</v>
      </c>
      <c r="E466" s="100">
        <v>15.719</v>
      </c>
      <c r="F466" s="100">
        <v>-34</v>
      </c>
      <c r="G466" s="100">
        <v>-19</v>
      </c>
      <c r="H466" s="100">
        <v>1</v>
      </c>
      <c r="I466" s="100">
        <v>-39</v>
      </c>
      <c r="K466" s="105">
        <v>45112</v>
      </c>
      <c r="L466" s="100">
        <v>22.908</v>
      </c>
      <c r="M466" s="106">
        <v>16.746</v>
      </c>
      <c r="N466" s="100">
        <v>37</v>
      </c>
      <c r="O466" s="100">
        <v>45</v>
      </c>
      <c r="P466" s="100">
        <v>66</v>
      </c>
      <c r="Q466" s="100">
        <v>25</v>
      </c>
      <c r="S466" s="105">
        <v>45112</v>
      </c>
      <c r="T466" s="106">
        <f t="shared" si="6"/>
        <v>-6.391</v>
      </c>
    </row>
    <row r="467" spans="3:20">
      <c r="C467" s="105">
        <v>45111</v>
      </c>
      <c r="D467" s="106">
        <v>10.535</v>
      </c>
      <c r="E467" s="100">
        <v>15.782</v>
      </c>
      <c r="F467" s="100">
        <v>-33</v>
      </c>
      <c r="G467" s="100">
        <v>-19</v>
      </c>
      <c r="H467" s="100">
        <v>1</v>
      </c>
      <c r="I467" s="100">
        <v>-39</v>
      </c>
      <c r="K467" s="105">
        <v>45111</v>
      </c>
      <c r="L467" s="100">
        <v>22.974</v>
      </c>
      <c r="M467" s="106">
        <v>16.809</v>
      </c>
      <c r="N467" s="100">
        <v>37</v>
      </c>
      <c r="O467" s="100">
        <v>45</v>
      </c>
      <c r="P467" s="100">
        <v>66</v>
      </c>
      <c r="Q467" s="100">
        <v>25</v>
      </c>
      <c r="S467" s="105">
        <v>45111</v>
      </c>
      <c r="T467" s="106">
        <f t="shared" si="6"/>
        <v>-6.274</v>
      </c>
    </row>
    <row r="468" spans="3:20">
      <c r="C468" s="105">
        <v>45110</v>
      </c>
      <c r="D468" s="106">
        <v>10.418</v>
      </c>
      <c r="E468" s="100">
        <v>15.782</v>
      </c>
      <c r="F468" s="100">
        <v>-34</v>
      </c>
      <c r="G468" s="100">
        <v>-19</v>
      </c>
      <c r="H468" s="100">
        <v>1</v>
      </c>
      <c r="I468" s="100">
        <v>-39</v>
      </c>
      <c r="K468" s="105">
        <v>45110</v>
      </c>
      <c r="L468" s="100">
        <v>23.017</v>
      </c>
      <c r="M468" s="106">
        <v>16.816</v>
      </c>
      <c r="N468" s="100">
        <v>37</v>
      </c>
      <c r="O468" s="100">
        <v>45</v>
      </c>
      <c r="P468" s="100">
        <v>66</v>
      </c>
      <c r="Q468" s="100">
        <v>25</v>
      </c>
      <c r="S468" s="105">
        <v>45110</v>
      </c>
      <c r="T468" s="106">
        <f t="shared" si="6"/>
        <v>-6.398</v>
      </c>
    </row>
    <row r="469" spans="3:20">
      <c r="C469" s="105">
        <v>45107</v>
      </c>
      <c r="D469" s="106">
        <v>10.429</v>
      </c>
      <c r="E469" s="100">
        <v>15.879</v>
      </c>
      <c r="F469" s="100">
        <v>-34</v>
      </c>
      <c r="G469" s="100">
        <v>-19</v>
      </c>
      <c r="H469" s="100">
        <v>1</v>
      </c>
      <c r="I469" s="100">
        <v>-39</v>
      </c>
      <c r="K469" s="105">
        <v>45107</v>
      </c>
      <c r="L469" s="100">
        <v>23.356</v>
      </c>
      <c r="M469" s="106">
        <v>16.947</v>
      </c>
      <c r="N469" s="100">
        <v>38</v>
      </c>
      <c r="O469" s="100">
        <v>45</v>
      </c>
      <c r="P469" s="100">
        <v>66</v>
      </c>
      <c r="Q469" s="100">
        <v>25</v>
      </c>
      <c r="S469" s="105">
        <v>45107</v>
      </c>
      <c r="T469" s="106">
        <f t="shared" si="6"/>
        <v>-6.518</v>
      </c>
    </row>
    <row r="470" spans="3:20">
      <c r="C470" s="105">
        <v>45106</v>
      </c>
      <c r="D470" s="106">
        <v>10.281</v>
      </c>
      <c r="E470" s="100">
        <v>15.955</v>
      </c>
      <c r="F470" s="100">
        <v>-36</v>
      </c>
      <c r="G470" s="100">
        <v>-19</v>
      </c>
      <c r="H470" s="100">
        <v>1</v>
      </c>
      <c r="I470" s="100">
        <v>-39</v>
      </c>
      <c r="K470" s="105">
        <v>45106</v>
      </c>
      <c r="L470" s="100">
        <v>23.232</v>
      </c>
      <c r="M470" s="106">
        <v>16.995</v>
      </c>
      <c r="N470" s="100">
        <v>37</v>
      </c>
      <c r="O470" s="100">
        <v>45</v>
      </c>
      <c r="P470" s="100">
        <v>66</v>
      </c>
      <c r="Q470" s="100">
        <v>25</v>
      </c>
      <c r="S470" s="105">
        <v>45106</v>
      </c>
      <c r="T470" s="106">
        <f t="shared" ref="T470:T533" si="7">D470-M470</f>
        <v>-6.714</v>
      </c>
    </row>
    <row r="471" spans="3:20">
      <c r="C471" s="105">
        <v>45105</v>
      </c>
      <c r="D471" s="106">
        <v>10.228</v>
      </c>
      <c r="E471" s="100">
        <v>15.322</v>
      </c>
      <c r="F471" s="100">
        <v>-33</v>
      </c>
      <c r="G471" s="100">
        <v>-19</v>
      </c>
      <c r="H471" s="100">
        <v>1</v>
      </c>
      <c r="I471" s="100">
        <v>-39</v>
      </c>
      <c r="K471" s="105">
        <v>45105</v>
      </c>
      <c r="L471" s="100">
        <v>23.287</v>
      </c>
      <c r="M471" s="106">
        <v>16.46</v>
      </c>
      <c r="N471" s="100">
        <v>41</v>
      </c>
      <c r="O471" s="100">
        <v>45</v>
      </c>
      <c r="P471" s="100">
        <v>66</v>
      </c>
      <c r="Q471" s="100">
        <v>25</v>
      </c>
      <c r="S471" s="105">
        <v>45105</v>
      </c>
      <c r="T471" s="106">
        <f t="shared" si="7"/>
        <v>-6.232</v>
      </c>
    </row>
    <row r="472" spans="3:20">
      <c r="C472" s="105">
        <v>45104</v>
      </c>
      <c r="D472" s="106">
        <v>10.122</v>
      </c>
      <c r="E472" s="100">
        <v>15.253</v>
      </c>
      <c r="F472" s="100">
        <v>-34</v>
      </c>
      <c r="G472" s="100">
        <v>-19</v>
      </c>
      <c r="H472" s="100">
        <v>1</v>
      </c>
      <c r="I472" s="100">
        <v>-39</v>
      </c>
      <c r="K472" s="105">
        <v>45104</v>
      </c>
      <c r="L472" s="100">
        <v>23.209</v>
      </c>
      <c r="M472" s="106">
        <v>16.39</v>
      </c>
      <c r="N472" s="100">
        <v>42</v>
      </c>
      <c r="O472" s="100">
        <v>45</v>
      </c>
      <c r="P472" s="100">
        <v>66</v>
      </c>
      <c r="Q472" s="100">
        <v>25</v>
      </c>
      <c r="S472" s="105">
        <v>45104</v>
      </c>
      <c r="T472" s="106">
        <f t="shared" si="7"/>
        <v>-6.268</v>
      </c>
    </row>
    <row r="473" spans="3:20">
      <c r="C473" s="105">
        <v>45103</v>
      </c>
      <c r="D473" s="106">
        <v>10.516</v>
      </c>
      <c r="E473" s="100">
        <v>15.252</v>
      </c>
      <c r="F473" s="100">
        <v>-31</v>
      </c>
      <c r="G473" s="100">
        <v>-19</v>
      </c>
      <c r="H473" s="100">
        <v>1</v>
      </c>
      <c r="I473" s="100">
        <v>-39</v>
      </c>
      <c r="K473" s="105">
        <v>45103</v>
      </c>
      <c r="L473" s="100">
        <v>23.375</v>
      </c>
      <c r="M473" s="106">
        <v>16.412</v>
      </c>
      <c r="N473" s="100">
        <v>42</v>
      </c>
      <c r="O473" s="100">
        <v>45</v>
      </c>
      <c r="P473" s="100">
        <v>66</v>
      </c>
      <c r="Q473" s="100">
        <v>25</v>
      </c>
      <c r="S473" s="105">
        <v>45103</v>
      </c>
      <c r="T473" s="106">
        <f t="shared" si="7"/>
        <v>-5.896</v>
      </c>
    </row>
    <row r="474" spans="3:20">
      <c r="C474" s="105">
        <v>45100</v>
      </c>
      <c r="D474" s="106">
        <v>10.429</v>
      </c>
      <c r="E474" s="100">
        <v>15.202</v>
      </c>
      <c r="F474" s="100">
        <v>-31</v>
      </c>
      <c r="G474" s="100">
        <v>-19</v>
      </c>
      <c r="H474" s="100">
        <v>1</v>
      </c>
      <c r="I474" s="100">
        <v>-39</v>
      </c>
      <c r="K474" s="105">
        <v>45100</v>
      </c>
      <c r="L474" s="100">
        <v>23.326</v>
      </c>
      <c r="M474" s="106">
        <v>16.363</v>
      </c>
      <c r="N474" s="100">
        <v>43</v>
      </c>
      <c r="O474" s="100">
        <v>45</v>
      </c>
      <c r="P474" s="100">
        <v>66</v>
      </c>
      <c r="Q474" s="100">
        <v>25</v>
      </c>
      <c r="S474" s="105">
        <v>45100</v>
      </c>
      <c r="T474" s="106">
        <f t="shared" si="7"/>
        <v>-5.934</v>
      </c>
    </row>
    <row r="475" spans="3:20">
      <c r="C475" s="105">
        <v>45099</v>
      </c>
      <c r="D475" s="106">
        <v>10.862</v>
      </c>
      <c r="E475" s="100">
        <v>15.379</v>
      </c>
      <c r="F475" s="100">
        <v>-29</v>
      </c>
      <c r="G475" s="100">
        <v>-19</v>
      </c>
      <c r="H475" s="100">
        <v>1</v>
      </c>
      <c r="I475" s="100">
        <v>-39</v>
      </c>
      <c r="K475" s="105">
        <v>45099</v>
      </c>
      <c r="L475" s="100">
        <v>23.397</v>
      </c>
      <c r="M475" s="106">
        <v>16.524</v>
      </c>
      <c r="N475" s="100">
        <v>42</v>
      </c>
      <c r="O475" s="100">
        <v>45</v>
      </c>
      <c r="P475" s="100">
        <v>66</v>
      </c>
      <c r="Q475" s="100">
        <v>25</v>
      </c>
      <c r="S475" s="105">
        <v>45099</v>
      </c>
      <c r="T475" s="106">
        <f t="shared" si="7"/>
        <v>-5.662</v>
      </c>
    </row>
    <row r="476" spans="3:20">
      <c r="C476" s="105">
        <v>45098</v>
      </c>
      <c r="D476" s="106">
        <v>10.621</v>
      </c>
      <c r="E476" s="100">
        <v>15.38</v>
      </c>
      <c r="F476" s="100">
        <v>-31</v>
      </c>
      <c r="G476" s="100">
        <v>-19</v>
      </c>
      <c r="H476" s="100">
        <v>1</v>
      </c>
      <c r="I476" s="100">
        <v>-39</v>
      </c>
      <c r="K476" s="105">
        <v>45098</v>
      </c>
      <c r="L476" s="100">
        <v>23.663</v>
      </c>
      <c r="M476" s="106">
        <v>16.563</v>
      </c>
      <c r="N476" s="100">
        <v>43</v>
      </c>
      <c r="O476" s="100">
        <v>45</v>
      </c>
      <c r="P476" s="100">
        <v>66</v>
      </c>
      <c r="Q476" s="100">
        <v>25</v>
      </c>
      <c r="S476" s="105">
        <v>45098</v>
      </c>
      <c r="T476" s="106">
        <f t="shared" si="7"/>
        <v>-5.942</v>
      </c>
    </row>
    <row r="477" spans="3:20">
      <c r="C477" s="105">
        <v>45097</v>
      </c>
      <c r="D477" s="106">
        <v>10.691</v>
      </c>
      <c r="E477" s="100">
        <v>15.458</v>
      </c>
      <c r="F477" s="100">
        <v>-31</v>
      </c>
      <c r="G477" s="100">
        <v>-19</v>
      </c>
      <c r="H477" s="100">
        <v>1</v>
      </c>
      <c r="I477" s="100">
        <v>-39</v>
      </c>
      <c r="K477" s="105">
        <v>45097</v>
      </c>
      <c r="L477" s="100">
        <v>23.94</v>
      </c>
      <c r="M477" s="106">
        <v>16.669</v>
      </c>
      <c r="N477" s="100">
        <v>44</v>
      </c>
      <c r="O477" s="100">
        <v>45</v>
      </c>
      <c r="P477" s="100">
        <v>66</v>
      </c>
      <c r="Q477" s="100">
        <v>25</v>
      </c>
      <c r="S477" s="105">
        <v>45097</v>
      </c>
      <c r="T477" s="106">
        <f t="shared" si="7"/>
        <v>-5.978</v>
      </c>
    </row>
    <row r="478" spans="3:20">
      <c r="C478" s="105">
        <v>45096</v>
      </c>
      <c r="D478" s="106">
        <v>10.775</v>
      </c>
      <c r="E478" s="100">
        <v>15.468</v>
      </c>
      <c r="F478" s="100">
        <v>-30</v>
      </c>
      <c r="G478" s="100">
        <v>-19</v>
      </c>
      <c r="H478" s="100">
        <v>1</v>
      </c>
      <c r="I478" s="100">
        <v>-39</v>
      </c>
      <c r="K478" s="105">
        <v>45096</v>
      </c>
      <c r="L478" s="100">
        <v>23.979</v>
      </c>
      <c r="M478" s="106">
        <v>16.684</v>
      </c>
      <c r="N478" s="100">
        <v>44</v>
      </c>
      <c r="O478" s="100">
        <v>45</v>
      </c>
      <c r="P478" s="100">
        <v>66</v>
      </c>
      <c r="Q478" s="100">
        <v>25</v>
      </c>
      <c r="S478" s="105">
        <v>45096</v>
      </c>
      <c r="T478" s="106">
        <f t="shared" si="7"/>
        <v>-5.909</v>
      </c>
    </row>
    <row r="479" spans="3:20">
      <c r="C479" s="105">
        <v>45093</v>
      </c>
      <c r="D479" s="106">
        <v>10.836</v>
      </c>
      <c r="E479" s="100">
        <v>15.547</v>
      </c>
      <c r="F479" s="100">
        <v>-30</v>
      </c>
      <c r="G479" s="100">
        <v>-19</v>
      </c>
      <c r="H479" s="100">
        <v>1</v>
      </c>
      <c r="I479" s="100">
        <v>-39</v>
      </c>
      <c r="K479" s="105">
        <v>45093</v>
      </c>
      <c r="L479" s="100">
        <v>24.207</v>
      </c>
      <c r="M479" s="106">
        <v>16.784</v>
      </c>
      <c r="N479" s="100">
        <v>44</v>
      </c>
      <c r="O479" s="100">
        <v>45</v>
      </c>
      <c r="P479" s="100">
        <v>66</v>
      </c>
      <c r="Q479" s="100">
        <v>25</v>
      </c>
      <c r="S479" s="105">
        <v>45093</v>
      </c>
      <c r="T479" s="106">
        <f t="shared" si="7"/>
        <v>-5.948</v>
      </c>
    </row>
    <row r="480" spans="3:20">
      <c r="C480" s="105">
        <v>45092</v>
      </c>
      <c r="D480" s="106">
        <v>10.707</v>
      </c>
      <c r="E480" s="100">
        <v>15.494</v>
      </c>
      <c r="F480" s="100">
        <v>-31</v>
      </c>
      <c r="G480" s="100">
        <v>-19</v>
      </c>
      <c r="H480" s="100">
        <v>1</v>
      </c>
      <c r="I480" s="100">
        <v>-39</v>
      </c>
      <c r="K480" s="105">
        <v>45092</v>
      </c>
      <c r="L480" s="100">
        <v>24.34</v>
      </c>
      <c r="M480" s="106">
        <v>16.758</v>
      </c>
      <c r="N480" s="100">
        <v>45</v>
      </c>
      <c r="O480" s="100">
        <v>45</v>
      </c>
      <c r="P480" s="100">
        <v>66</v>
      </c>
      <c r="Q480" s="100">
        <v>25</v>
      </c>
      <c r="S480" s="105">
        <v>45092</v>
      </c>
      <c r="T480" s="106">
        <f t="shared" si="7"/>
        <v>-6.051</v>
      </c>
    </row>
    <row r="481" spans="3:20">
      <c r="C481" s="105">
        <v>45091</v>
      </c>
      <c r="D481" s="106">
        <v>10.778</v>
      </c>
      <c r="E481" s="100">
        <v>15.395</v>
      </c>
      <c r="F481" s="100">
        <v>-30</v>
      </c>
      <c r="G481" s="100">
        <v>-19</v>
      </c>
      <c r="H481" s="100">
        <v>1</v>
      </c>
      <c r="I481" s="100">
        <v>-39</v>
      </c>
      <c r="K481" s="105">
        <v>45091</v>
      </c>
      <c r="L481" s="100">
        <v>24.045</v>
      </c>
      <c r="M481" s="106">
        <v>16.63</v>
      </c>
      <c r="N481" s="100">
        <v>45</v>
      </c>
      <c r="O481" s="100">
        <v>45</v>
      </c>
      <c r="P481" s="100">
        <v>66</v>
      </c>
      <c r="Q481" s="100">
        <v>25</v>
      </c>
      <c r="S481" s="105">
        <v>45091</v>
      </c>
      <c r="T481" s="106">
        <f t="shared" si="7"/>
        <v>-5.852</v>
      </c>
    </row>
    <row r="482" spans="3:20">
      <c r="C482" s="105">
        <v>45090</v>
      </c>
      <c r="D482" s="106">
        <v>10.789</v>
      </c>
      <c r="E482" s="100">
        <v>15.393</v>
      </c>
      <c r="F482" s="100">
        <v>-30</v>
      </c>
      <c r="G482" s="100">
        <v>-19</v>
      </c>
      <c r="H482" s="100">
        <v>1</v>
      </c>
      <c r="I482" s="100">
        <v>-39</v>
      </c>
      <c r="K482" s="105">
        <v>45090</v>
      </c>
      <c r="L482" s="100">
        <v>24.179</v>
      </c>
      <c r="M482" s="106">
        <v>16.648</v>
      </c>
      <c r="N482" s="100">
        <v>45</v>
      </c>
      <c r="O482" s="100">
        <v>45</v>
      </c>
      <c r="P482" s="100">
        <v>66</v>
      </c>
      <c r="Q482" s="100">
        <v>25</v>
      </c>
      <c r="S482" s="105">
        <v>45090</v>
      </c>
      <c r="T482" s="106">
        <f t="shared" si="7"/>
        <v>-5.859</v>
      </c>
    </row>
    <row r="483" spans="3:20">
      <c r="C483" s="105">
        <v>45089</v>
      </c>
      <c r="D483" s="106">
        <v>10.838</v>
      </c>
      <c r="E483" s="100">
        <v>15.331</v>
      </c>
      <c r="F483" s="100">
        <v>-29</v>
      </c>
      <c r="G483" s="100">
        <v>-19</v>
      </c>
      <c r="H483" s="100">
        <v>1</v>
      </c>
      <c r="I483" s="100">
        <v>-39</v>
      </c>
      <c r="K483" s="105">
        <v>45089</v>
      </c>
      <c r="L483" s="100">
        <v>24.123</v>
      </c>
      <c r="M483" s="106">
        <v>16.587</v>
      </c>
      <c r="N483" s="100">
        <v>45</v>
      </c>
      <c r="O483" s="100">
        <v>45</v>
      </c>
      <c r="P483" s="100">
        <v>66</v>
      </c>
      <c r="Q483" s="100">
        <v>25</v>
      </c>
      <c r="S483" s="105">
        <v>45089</v>
      </c>
      <c r="T483" s="106">
        <f t="shared" si="7"/>
        <v>-5.749</v>
      </c>
    </row>
    <row r="484" spans="3:20">
      <c r="C484" s="105">
        <v>45086</v>
      </c>
      <c r="D484" s="106">
        <v>10.826</v>
      </c>
      <c r="E484" s="100">
        <v>15.18</v>
      </c>
      <c r="F484" s="100">
        <v>-29</v>
      </c>
      <c r="G484" s="100">
        <v>-19</v>
      </c>
      <c r="H484" s="100">
        <v>1</v>
      </c>
      <c r="I484" s="100">
        <v>-39</v>
      </c>
      <c r="K484" s="105">
        <v>45086</v>
      </c>
      <c r="L484" s="100">
        <v>24.069</v>
      </c>
      <c r="M484" s="106">
        <v>16.45</v>
      </c>
      <c r="N484" s="100">
        <v>46</v>
      </c>
      <c r="O484" s="100">
        <v>45</v>
      </c>
      <c r="P484" s="100">
        <v>66</v>
      </c>
      <c r="Q484" s="100">
        <v>25</v>
      </c>
      <c r="S484" s="105">
        <v>45086</v>
      </c>
      <c r="T484" s="106">
        <f t="shared" si="7"/>
        <v>-5.624</v>
      </c>
    </row>
    <row r="485" spans="3:20">
      <c r="C485" s="105">
        <v>45085</v>
      </c>
      <c r="D485" s="106">
        <v>10.999</v>
      </c>
      <c r="E485" s="100">
        <v>15.252</v>
      </c>
      <c r="F485" s="100">
        <v>-28</v>
      </c>
      <c r="G485" s="100">
        <v>-19</v>
      </c>
      <c r="H485" s="100">
        <v>1</v>
      </c>
      <c r="I485" s="100">
        <v>-39</v>
      </c>
      <c r="K485" s="105">
        <v>45085</v>
      </c>
      <c r="L485" s="100">
        <v>24.324</v>
      </c>
      <c r="M485" s="106">
        <v>16.548</v>
      </c>
      <c r="N485" s="100">
        <v>47</v>
      </c>
      <c r="O485" s="100">
        <v>45</v>
      </c>
      <c r="P485" s="100">
        <v>66</v>
      </c>
      <c r="Q485" s="100">
        <v>25</v>
      </c>
      <c r="S485" s="105">
        <v>45085</v>
      </c>
      <c r="T485" s="106">
        <f t="shared" si="7"/>
        <v>-5.549</v>
      </c>
    </row>
    <row r="486" spans="3:20">
      <c r="C486" s="105">
        <v>45084</v>
      </c>
      <c r="D486" s="106">
        <v>11.212</v>
      </c>
      <c r="E486" s="100">
        <v>15.426</v>
      </c>
      <c r="F486" s="100">
        <v>-27</v>
      </c>
      <c r="G486" s="100">
        <v>-19</v>
      </c>
      <c r="H486" s="100">
        <v>1</v>
      </c>
      <c r="I486" s="100">
        <v>-39</v>
      </c>
      <c r="K486" s="105">
        <v>45084</v>
      </c>
      <c r="L486" s="100">
        <v>24.335</v>
      </c>
      <c r="M486" s="106">
        <v>16.699</v>
      </c>
      <c r="N486" s="100">
        <v>46</v>
      </c>
      <c r="O486" s="100">
        <v>45</v>
      </c>
      <c r="P486" s="100">
        <v>66</v>
      </c>
      <c r="Q486" s="100">
        <v>25</v>
      </c>
      <c r="S486" s="105">
        <v>45084</v>
      </c>
      <c r="T486" s="106">
        <f t="shared" si="7"/>
        <v>-5.487</v>
      </c>
    </row>
    <row r="487" spans="3:20">
      <c r="C487" s="105">
        <v>45083</v>
      </c>
      <c r="D487" s="106">
        <v>11.286</v>
      </c>
      <c r="E487" s="100">
        <v>15.168</v>
      </c>
      <c r="F487" s="100">
        <v>-26</v>
      </c>
      <c r="G487" s="100">
        <v>-19</v>
      </c>
      <c r="H487" s="100">
        <v>1</v>
      </c>
      <c r="I487" s="100">
        <v>-39</v>
      </c>
      <c r="K487" s="105">
        <v>45083</v>
      </c>
      <c r="L487" s="100">
        <v>24.443</v>
      </c>
      <c r="M487" s="106">
        <v>16.493</v>
      </c>
      <c r="N487" s="100">
        <v>48</v>
      </c>
      <c r="O487" s="100">
        <v>45</v>
      </c>
      <c r="P487" s="100">
        <v>66</v>
      </c>
      <c r="Q487" s="100">
        <v>25</v>
      </c>
      <c r="S487" s="105">
        <v>45083</v>
      </c>
      <c r="T487" s="106">
        <f t="shared" si="7"/>
        <v>-5.207</v>
      </c>
    </row>
    <row r="488" spans="3:20">
      <c r="C488" s="105">
        <v>45082</v>
      </c>
      <c r="D488" s="106">
        <v>11.301</v>
      </c>
      <c r="E488" s="100">
        <v>15.198</v>
      </c>
      <c r="F488" s="100">
        <v>-26</v>
      </c>
      <c r="G488" s="100">
        <v>-19</v>
      </c>
      <c r="H488" s="100">
        <v>1</v>
      </c>
      <c r="I488" s="100">
        <v>-39</v>
      </c>
      <c r="K488" s="105">
        <v>45082</v>
      </c>
      <c r="L488" s="100">
        <v>24.142</v>
      </c>
      <c r="M488" s="106">
        <v>16.476</v>
      </c>
      <c r="N488" s="100">
        <v>47</v>
      </c>
      <c r="O488" s="100">
        <v>45</v>
      </c>
      <c r="P488" s="100">
        <v>66</v>
      </c>
      <c r="Q488" s="100">
        <v>25</v>
      </c>
      <c r="S488" s="105">
        <v>45082</v>
      </c>
      <c r="T488" s="106">
        <f t="shared" si="7"/>
        <v>-5.175</v>
      </c>
    </row>
    <row r="489" spans="3:20">
      <c r="C489" s="105">
        <v>45079</v>
      </c>
      <c r="D489" s="106">
        <v>11.451</v>
      </c>
      <c r="E489" s="100">
        <v>15.373</v>
      </c>
      <c r="F489" s="100">
        <v>-26</v>
      </c>
      <c r="G489" s="100">
        <v>-19</v>
      </c>
      <c r="H489" s="100">
        <v>1</v>
      </c>
      <c r="I489" s="100">
        <v>-39</v>
      </c>
      <c r="K489" s="105">
        <v>45079</v>
      </c>
      <c r="L489" s="100">
        <v>23.704</v>
      </c>
      <c r="M489" s="106">
        <v>16.563</v>
      </c>
      <c r="N489" s="100">
        <v>43</v>
      </c>
      <c r="O489" s="100">
        <v>45</v>
      </c>
      <c r="P489" s="100">
        <v>66</v>
      </c>
      <c r="Q489" s="100">
        <v>25</v>
      </c>
      <c r="S489" s="105">
        <v>45079</v>
      </c>
      <c r="T489" s="106">
        <f t="shared" si="7"/>
        <v>-5.112</v>
      </c>
    </row>
    <row r="490" spans="3:20">
      <c r="C490" s="105">
        <v>45078</v>
      </c>
      <c r="D490" s="106">
        <v>11.12</v>
      </c>
      <c r="E490" s="100">
        <v>15.029</v>
      </c>
      <c r="F490" s="100">
        <v>-26</v>
      </c>
      <c r="G490" s="100">
        <v>-19</v>
      </c>
      <c r="H490" s="100">
        <v>1</v>
      </c>
      <c r="I490" s="100">
        <v>-39</v>
      </c>
      <c r="K490" s="105">
        <v>45078</v>
      </c>
      <c r="L490" s="100">
        <v>23.542</v>
      </c>
      <c r="M490" s="106">
        <v>16.245</v>
      </c>
      <c r="N490" s="100">
        <v>45</v>
      </c>
      <c r="O490" s="100">
        <v>45</v>
      </c>
      <c r="P490" s="100">
        <v>66</v>
      </c>
      <c r="Q490" s="100">
        <v>25</v>
      </c>
      <c r="S490" s="105">
        <v>45078</v>
      </c>
      <c r="T490" s="106">
        <f t="shared" si="7"/>
        <v>-5.125</v>
      </c>
    </row>
    <row r="491" spans="3:20">
      <c r="C491" s="105">
        <v>45077</v>
      </c>
      <c r="D491" s="106">
        <v>11.096</v>
      </c>
      <c r="E491" s="100">
        <v>14.851</v>
      </c>
      <c r="F491" s="100">
        <v>-25</v>
      </c>
      <c r="G491" s="100">
        <v>-19</v>
      </c>
      <c r="H491" s="100">
        <v>1</v>
      </c>
      <c r="I491" s="100">
        <v>-39</v>
      </c>
      <c r="K491" s="105">
        <v>45077</v>
      </c>
      <c r="L491" s="100">
        <v>23.803</v>
      </c>
      <c r="M491" s="106">
        <v>16.13</v>
      </c>
      <c r="N491" s="100">
        <v>48</v>
      </c>
      <c r="O491" s="100">
        <v>45</v>
      </c>
      <c r="P491" s="100">
        <v>66</v>
      </c>
      <c r="Q491" s="100">
        <v>25</v>
      </c>
      <c r="S491" s="105">
        <v>45077</v>
      </c>
      <c r="T491" s="106">
        <f t="shared" si="7"/>
        <v>-5.034</v>
      </c>
    </row>
    <row r="492" spans="3:20">
      <c r="C492" s="105">
        <v>45076</v>
      </c>
      <c r="D492" s="106">
        <v>11.207</v>
      </c>
      <c r="E492" s="100">
        <v>15.088</v>
      </c>
      <c r="F492" s="100">
        <v>-26</v>
      </c>
      <c r="G492" s="100">
        <v>-19</v>
      </c>
      <c r="H492" s="100">
        <v>1</v>
      </c>
      <c r="I492" s="100">
        <v>-39</v>
      </c>
      <c r="K492" s="105">
        <v>45076</v>
      </c>
      <c r="L492" s="100">
        <v>23.619</v>
      </c>
      <c r="M492" s="106">
        <v>16.307</v>
      </c>
      <c r="N492" s="100">
        <v>45</v>
      </c>
      <c r="O492" s="100">
        <v>45</v>
      </c>
      <c r="P492" s="100">
        <v>66</v>
      </c>
      <c r="Q492" s="100">
        <v>25</v>
      </c>
      <c r="S492" s="105">
        <v>45076</v>
      </c>
      <c r="T492" s="106">
        <f t="shared" si="7"/>
        <v>-5.1</v>
      </c>
    </row>
    <row r="493" spans="3:20">
      <c r="C493" s="105">
        <v>45072</v>
      </c>
      <c r="D493" s="106">
        <v>11.044</v>
      </c>
      <c r="E493" s="100">
        <v>15.052</v>
      </c>
      <c r="F493" s="100">
        <v>-27</v>
      </c>
      <c r="G493" s="100">
        <v>-19</v>
      </c>
      <c r="H493" s="100">
        <v>1</v>
      </c>
      <c r="I493" s="100">
        <v>-39</v>
      </c>
      <c r="K493" s="105">
        <v>45072</v>
      </c>
      <c r="L493" s="100">
        <v>23.667</v>
      </c>
      <c r="M493" s="106">
        <v>16.282</v>
      </c>
      <c r="N493" s="100">
        <v>45</v>
      </c>
      <c r="O493" s="100">
        <v>45</v>
      </c>
      <c r="P493" s="100">
        <v>66</v>
      </c>
      <c r="Q493" s="100">
        <v>25</v>
      </c>
      <c r="S493" s="105">
        <v>45072</v>
      </c>
      <c r="T493" s="106">
        <f t="shared" si="7"/>
        <v>-5.238</v>
      </c>
    </row>
    <row r="494" spans="3:20">
      <c r="C494" s="105">
        <v>45071</v>
      </c>
      <c r="D494" s="106">
        <v>10.873</v>
      </c>
      <c r="E494" s="100">
        <v>14.979</v>
      </c>
      <c r="F494" s="100">
        <v>-27</v>
      </c>
      <c r="G494" s="100">
        <v>-19</v>
      </c>
      <c r="H494" s="100">
        <v>1</v>
      </c>
      <c r="I494" s="100">
        <v>-39</v>
      </c>
      <c r="K494" s="105">
        <v>45071</v>
      </c>
      <c r="L494" s="100">
        <v>23.264</v>
      </c>
      <c r="M494" s="106">
        <v>16.163</v>
      </c>
      <c r="N494" s="100">
        <v>44</v>
      </c>
      <c r="O494" s="100">
        <v>45</v>
      </c>
      <c r="P494" s="100">
        <v>66</v>
      </c>
      <c r="Q494" s="100">
        <v>25</v>
      </c>
      <c r="S494" s="105">
        <v>45071</v>
      </c>
      <c r="T494" s="106">
        <f t="shared" si="7"/>
        <v>-5.29</v>
      </c>
    </row>
    <row r="495" spans="3:20">
      <c r="C495" s="105">
        <v>45070</v>
      </c>
      <c r="D495" s="106">
        <v>11.006</v>
      </c>
      <c r="E495" s="100">
        <v>15.108</v>
      </c>
      <c r="F495" s="100">
        <v>-27</v>
      </c>
      <c r="G495" s="100">
        <v>-19</v>
      </c>
      <c r="H495" s="100">
        <v>1</v>
      </c>
      <c r="I495" s="100">
        <v>-39</v>
      </c>
      <c r="K495" s="105">
        <v>45070</v>
      </c>
      <c r="L495" s="100">
        <v>23.168</v>
      </c>
      <c r="M495" s="106">
        <v>16.259</v>
      </c>
      <c r="N495" s="100">
        <v>42</v>
      </c>
      <c r="O495" s="100">
        <v>45</v>
      </c>
      <c r="P495" s="100">
        <v>66</v>
      </c>
      <c r="Q495" s="100">
        <v>25</v>
      </c>
      <c r="S495" s="105">
        <v>45070</v>
      </c>
      <c r="T495" s="106">
        <f t="shared" si="7"/>
        <v>-5.253</v>
      </c>
    </row>
    <row r="496" spans="3:20">
      <c r="C496" s="105">
        <v>45069</v>
      </c>
      <c r="D496" s="106">
        <v>11.413</v>
      </c>
      <c r="E496" s="100">
        <v>15.391</v>
      </c>
      <c r="F496" s="100">
        <v>-26</v>
      </c>
      <c r="G496" s="100">
        <v>-19</v>
      </c>
      <c r="H496" s="100">
        <v>1</v>
      </c>
      <c r="I496" s="100">
        <v>-39</v>
      </c>
      <c r="K496" s="105">
        <v>45069</v>
      </c>
      <c r="L496" s="100">
        <v>23.671</v>
      </c>
      <c r="M496" s="106">
        <v>16.573</v>
      </c>
      <c r="N496" s="100">
        <v>43</v>
      </c>
      <c r="O496" s="100">
        <v>45</v>
      </c>
      <c r="P496" s="100">
        <v>66</v>
      </c>
      <c r="Q496" s="100">
        <v>25</v>
      </c>
      <c r="S496" s="105">
        <v>45069</v>
      </c>
      <c r="T496" s="106">
        <f t="shared" si="7"/>
        <v>-5.16</v>
      </c>
    </row>
    <row r="497" spans="3:20">
      <c r="C497" s="105">
        <v>45068</v>
      </c>
      <c r="D497" s="106">
        <v>11.744</v>
      </c>
      <c r="E497" s="100">
        <v>15.724</v>
      </c>
      <c r="F497" s="100">
        <v>-25</v>
      </c>
      <c r="G497" s="100">
        <v>-19</v>
      </c>
      <c r="H497" s="100">
        <v>1</v>
      </c>
      <c r="I497" s="100">
        <v>-39</v>
      </c>
      <c r="K497" s="105">
        <v>45068</v>
      </c>
      <c r="L497" s="100">
        <v>23.666</v>
      </c>
      <c r="M497" s="106">
        <v>16.859</v>
      </c>
      <c r="N497" s="100">
        <v>40</v>
      </c>
      <c r="O497" s="100">
        <v>45</v>
      </c>
      <c r="P497" s="100">
        <v>66</v>
      </c>
      <c r="Q497" s="100">
        <v>25</v>
      </c>
      <c r="S497" s="105">
        <v>45068</v>
      </c>
      <c r="T497" s="106">
        <f t="shared" si="7"/>
        <v>-5.115</v>
      </c>
    </row>
    <row r="498" spans="3:20">
      <c r="C498" s="105">
        <v>45065</v>
      </c>
      <c r="D498" s="106">
        <v>11.758</v>
      </c>
      <c r="E498" s="100">
        <v>15.704</v>
      </c>
      <c r="F498" s="100">
        <v>-25</v>
      </c>
      <c r="G498" s="100">
        <v>-19</v>
      </c>
      <c r="H498" s="100">
        <v>1</v>
      </c>
      <c r="I498" s="100">
        <v>-39</v>
      </c>
      <c r="K498" s="105">
        <v>45065</v>
      </c>
      <c r="L498" s="100">
        <v>23.613</v>
      </c>
      <c r="M498" s="106">
        <v>16.834</v>
      </c>
      <c r="N498" s="100">
        <v>40</v>
      </c>
      <c r="O498" s="100">
        <v>45</v>
      </c>
      <c r="P498" s="100">
        <v>66</v>
      </c>
      <c r="Q498" s="100">
        <v>25</v>
      </c>
      <c r="S498" s="105">
        <v>45065</v>
      </c>
      <c r="T498" s="106">
        <f t="shared" si="7"/>
        <v>-5.076</v>
      </c>
    </row>
    <row r="499" spans="3:20">
      <c r="C499" s="105">
        <v>45064</v>
      </c>
      <c r="D499" s="106">
        <v>12.749</v>
      </c>
      <c r="E499" s="100">
        <v>16.027</v>
      </c>
      <c r="F499" s="100">
        <v>-20</v>
      </c>
      <c r="G499" s="100">
        <v>-19</v>
      </c>
      <c r="H499" s="100">
        <v>1</v>
      </c>
      <c r="I499" s="100">
        <v>-39</v>
      </c>
      <c r="K499" s="105">
        <v>45064</v>
      </c>
      <c r="L499" s="100">
        <v>23.416</v>
      </c>
      <c r="M499" s="106">
        <v>17.082</v>
      </c>
      <c r="N499" s="100">
        <v>37</v>
      </c>
      <c r="O499" s="100">
        <v>45</v>
      </c>
      <c r="P499" s="100">
        <v>66</v>
      </c>
      <c r="Q499" s="100">
        <v>25</v>
      </c>
      <c r="S499" s="105">
        <v>45064</v>
      </c>
      <c r="T499" s="106">
        <f t="shared" si="7"/>
        <v>-4.333</v>
      </c>
    </row>
    <row r="500" spans="3:20">
      <c r="C500" s="105">
        <v>45063</v>
      </c>
      <c r="D500" s="106">
        <v>12.038</v>
      </c>
      <c r="E500" s="100">
        <v>15.851</v>
      </c>
      <c r="F500" s="100">
        <v>-24</v>
      </c>
      <c r="G500" s="100">
        <v>-19</v>
      </c>
      <c r="H500" s="100">
        <v>1</v>
      </c>
      <c r="I500" s="100">
        <v>-39</v>
      </c>
      <c r="K500" s="105">
        <v>45063</v>
      </c>
      <c r="L500" s="100">
        <v>23.26</v>
      </c>
      <c r="M500" s="106">
        <v>16.909</v>
      </c>
      <c r="N500" s="100">
        <v>38</v>
      </c>
      <c r="O500" s="100">
        <v>45</v>
      </c>
      <c r="P500" s="100">
        <v>66</v>
      </c>
      <c r="Q500" s="100">
        <v>25</v>
      </c>
      <c r="S500" s="105">
        <v>45063</v>
      </c>
      <c r="T500" s="106">
        <f t="shared" si="7"/>
        <v>-4.871</v>
      </c>
    </row>
    <row r="501" spans="3:20">
      <c r="C501" s="105">
        <v>45062</v>
      </c>
      <c r="D501" s="106">
        <v>12.605</v>
      </c>
      <c r="E501" s="100">
        <v>15.856</v>
      </c>
      <c r="F501" s="100">
        <v>-21</v>
      </c>
      <c r="G501" s="100">
        <v>-19</v>
      </c>
      <c r="H501" s="100">
        <v>1</v>
      </c>
      <c r="I501" s="100">
        <v>-39</v>
      </c>
      <c r="K501" s="105">
        <v>45062</v>
      </c>
      <c r="L501" s="100">
        <v>23.933</v>
      </c>
      <c r="M501" s="106">
        <v>17.01</v>
      </c>
      <c r="N501" s="100">
        <v>41</v>
      </c>
      <c r="O501" s="100">
        <v>45</v>
      </c>
      <c r="P501" s="100">
        <v>66</v>
      </c>
      <c r="Q501" s="100">
        <v>25</v>
      </c>
      <c r="S501" s="105">
        <v>45062</v>
      </c>
      <c r="T501" s="106">
        <f t="shared" si="7"/>
        <v>-4.405</v>
      </c>
    </row>
    <row r="502" spans="3:20">
      <c r="C502" s="105">
        <v>45061</v>
      </c>
      <c r="D502" s="106">
        <v>12.933</v>
      </c>
      <c r="E502" s="100">
        <v>15.978</v>
      </c>
      <c r="F502" s="100">
        <v>-19</v>
      </c>
      <c r="G502" s="100">
        <v>-19</v>
      </c>
      <c r="H502" s="100">
        <v>1</v>
      </c>
      <c r="I502" s="100">
        <v>-39</v>
      </c>
      <c r="K502" s="105">
        <v>45061</v>
      </c>
      <c r="L502" s="100">
        <v>23.881</v>
      </c>
      <c r="M502" s="106">
        <v>17.107</v>
      </c>
      <c r="N502" s="100">
        <v>40</v>
      </c>
      <c r="O502" s="100">
        <v>45</v>
      </c>
      <c r="P502" s="100">
        <v>66</v>
      </c>
      <c r="Q502" s="100">
        <v>25</v>
      </c>
      <c r="S502" s="105">
        <v>45061</v>
      </c>
      <c r="T502" s="106">
        <f t="shared" si="7"/>
        <v>-4.174</v>
      </c>
    </row>
    <row r="503" spans="3:20">
      <c r="C503" s="105">
        <v>45058</v>
      </c>
      <c r="D503" s="106">
        <v>12.914</v>
      </c>
      <c r="E503" s="100">
        <v>15.98</v>
      </c>
      <c r="F503" s="100">
        <v>-19</v>
      </c>
      <c r="G503" s="100">
        <v>-19</v>
      </c>
      <c r="H503" s="100">
        <v>1</v>
      </c>
      <c r="I503" s="100">
        <v>-39</v>
      </c>
      <c r="K503" s="105">
        <v>45058</v>
      </c>
      <c r="L503" s="100">
        <v>24.185</v>
      </c>
      <c r="M503" s="106">
        <v>17.152</v>
      </c>
      <c r="N503" s="100">
        <v>41</v>
      </c>
      <c r="O503" s="100">
        <v>45</v>
      </c>
      <c r="P503" s="100">
        <v>66</v>
      </c>
      <c r="Q503" s="100">
        <v>25</v>
      </c>
      <c r="S503" s="105">
        <v>45058</v>
      </c>
      <c r="T503" s="106">
        <f t="shared" si="7"/>
        <v>-4.238</v>
      </c>
    </row>
    <row r="504" spans="3:20">
      <c r="C504" s="105">
        <v>45057</v>
      </c>
      <c r="D504" s="106">
        <v>12.569</v>
      </c>
      <c r="E504" s="100">
        <v>15.991</v>
      </c>
      <c r="F504" s="100">
        <v>-21</v>
      </c>
      <c r="G504" s="100">
        <v>-19</v>
      </c>
      <c r="H504" s="100">
        <v>1</v>
      </c>
      <c r="I504" s="100">
        <v>-39</v>
      </c>
      <c r="K504" s="105">
        <v>45057</v>
      </c>
      <c r="L504" s="100">
        <v>24.047</v>
      </c>
      <c r="M504" s="106">
        <v>17.142</v>
      </c>
      <c r="N504" s="100">
        <v>40</v>
      </c>
      <c r="O504" s="100">
        <v>45</v>
      </c>
      <c r="P504" s="100">
        <v>66</v>
      </c>
      <c r="Q504" s="100">
        <v>25</v>
      </c>
      <c r="S504" s="105">
        <v>45057</v>
      </c>
      <c r="T504" s="106">
        <f t="shared" si="7"/>
        <v>-4.573</v>
      </c>
    </row>
    <row r="505" spans="3:20">
      <c r="C505" s="105">
        <v>45056</v>
      </c>
      <c r="D505" s="106">
        <v>12.257</v>
      </c>
      <c r="E505" s="100">
        <v>15.858</v>
      </c>
      <c r="F505" s="100">
        <v>-23</v>
      </c>
      <c r="G505" s="100">
        <v>-19</v>
      </c>
      <c r="H505" s="100">
        <v>1</v>
      </c>
      <c r="I505" s="100">
        <v>-39</v>
      </c>
      <c r="K505" s="105">
        <v>45056</v>
      </c>
      <c r="L505" s="100">
        <v>23.949</v>
      </c>
      <c r="M505" s="106">
        <v>17.014</v>
      </c>
      <c r="N505" s="100">
        <v>41</v>
      </c>
      <c r="O505" s="100">
        <v>45</v>
      </c>
      <c r="P505" s="100">
        <v>66</v>
      </c>
      <c r="Q505" s="100">
        <v>25</v>
      </c>
      <c r="S505" s="105">
        <v>45056</v>
      </c>
      <c r="T505" s="106">
        <f t="shared" si="7"/>
        <v>-4.757</v>
      </c>
    </row>
    <row r="506" spans="3:20">
      <c r="C506" s="105">
        <v>45055</v>
      </c>
      <c r="D506" s="106">
        <v>12.274</v>
      </c>
      <c r="E506" s="100">
        <v>16.026</v>
      </c>
      <c r="F506" s="100">
        <v>-23</v>
      </c>
      <c r="G506" s="100">
        <v>-19</v>
      </c>
      <c r="H506" s="100">
        <v>1</v>
      </c>
      <c r="I506" s="100">
        <v>-39</v>
      </c>
      <c r="K506" s="105">
        <v>45055</v>
      </c>
      <c r="L506" s="100">
        <v>23.739</v>
      </c>
      <c r="M506" s="106">
        <v>17.128</v>
      </c>
      <c r="N506" s="100">
        <v>39</v>
      </c>
      <c r="O506" s="100">
        <v>45</v>
      </c>
      <c r="P506" s="100">
        <v>66</v>
      </c>
      <c r="Q506" s="100">
        <v>25</v>
      </c>
      <c r="S506" s="105">
        <v>45055</v>
      </c>
      <c r="T506" s="106">
        <f t="shared" si="7"/>
        <v>-4.854</v>
      </c>
    </row>
    <row r="507" spans="3:20">
      <c r="C507" s="105">
        <v>45051</v>
      </c>
      <c r="D507" s="106">
        <v>12.15</v>
      </c>
      <c r="E507" s="100">
        <v>16.142</v>
      </c>
      <c r="F507" s="100">
        <v>-25</v>
      </c>
      <c r="G507" s="100">
        <v>-19</v>
      </c>
      <c r="H507" s="100">
        <v>1</v>
      </c>
      <c r="I507" s="100">
        <v>-39</v>
      </c>
      <c r="K507" s="105">
        <v>45051</v>
      </c>
      <c r="L507" s="100">
        <v>23.715</v>
      </c>
      <c r="M507" s="106">
        <v>17.224</v>
      </c>
      <c r="N507" s="100">
        <v>38</v>
      </c>
      <c r="O507" s="100">
        <v>45</v>
      </c>
      <c r="P507" s="100">
        <v>66</v>
      </c>
      <c r="Q507" s="100">
        <v>25</v>
      </c>
      <c r="S507" s="105">
        <v>45051</v>
      </c>
      <c r="T507" s="106">
        <f t="shared" si="7"/>
        <v>-5.074</v>
      </c>
    </row>
    <row r="508" spans="3:20">
      <c r="C508" s="105">
        <v>45050</v>
      </c>
      <c r="D508" s="106">
        <v>11.942</v>
      </c>
      <c r="E508" s="100">
        <v>16.118</v>
      </c>
      <c r="F508" s="100">
        <v>-26</v>
      </c>
      <c r="G508" s="100">
        <v>-19</v>
      </c>
      <c r="H508" s="100">
        <v>1</v>
      </c>
      <c r="I508" s="100">
        <v>-39</v>
      </c>
      <c r="K508" s="105">
        <v>45050</v>
      </c>
      <c r="L508" s="100">
        <v>23.753</v>
      </c>
      <c r="M508" s="106">
        <v>17.209</v>
      </c>
      <c r="N508" s="100">
        <v>38</v>
      </c>
      <c r="O508" s="100">
        <v>45</v>
      </c>
      <c r="P508" s="100">
        <v>66</v>
      </c>
      <c r="Q508" s="100">
        <v>25</v>
      </c>
      <c r="S508" s="105">
        <v>45050</v>
      </c>
      <c r="T508" s="106">
        <f t="shared" si="7"/>
        <v>-5.267</v>
      </c>
    </row>
    <row r="509" spans="3:20">
      <c r="C509" s="105">
        <v>45049</v>
      </c>
      <c r="D509" s="106">
        <v>12.179</v>
      </c>
      <c r="E509" s="100">
        <v>16.028</v>
      </c>
      <c r="F509" s="100">
        <v>-24</v>
      </c>
      <c r="G509" s="100">
        <v>-19</v>
      </c>
      <c r="H509" s="100">
        <v>1</v>
      </c>
      <c r="I509" s="100">
        <v>-39</v>
      </c>
      <c r="K509" s="105">
        <v>45049</v>
      </c>
      <c r="L509" s="100">
        <v>23.567</v>
      </c>
      <c r="M509" s="106">
        <v>17.105</v>
      </c>
      <c r="N509" s="100">
        <v>38</v>
      </c>
      <c r="O509" s="100">
        <v>45</v>
      </c>
      <c r="P509" s="100">
        <v>66</v>
      </c>
      <c r="Q509" s="100">
        <v>25</v>
      </c>
      <c r="S509" s="105">
        <v>45049</v>
      </c>
      <c r="T509" s="106">
        <f t="shared" si="7"/>
        <v>-4.926</v>
      </c>
    </row>
    <row r="510" spans="3:20">
      <c r="C510" s="105">
        <v>45048</v>
      </c>
      <c r="D510" s="106">
        <v>12.117</v>
      </c>
      <c r="E510" s="100">
        <v>16.013</v>
      </c>
      <c r="F510" s="100">
        <v>-24</v>
      </c>
      <c r="G510" s="100">
        <v>-19</v>
      </c>
      <c r="H510" s="100">
        <v>1</v>
      </c>
      <c r="I510" s="100">
        <v>-39</v>
      </c>
      <c r="K510" s="105">
        <v>45048</v>
      </c>
      <c r="L510" s="100">
        <v>23.657</v>
      </c>
      <c r="M510" s="106">
        <v>17.105</v>
      </c>
      <c r="N510" s="100">
        <v>38</v>
      </c>
      <c r="O510" s="100">
        <v>45</v>
      </c>
      <c r="P510" s="100">
        <v>66</v>
      </c>
      <c r="Q510" s="100">
        <v>25</v>
      </c>
      <c r="S510" s="105">
        <v>45048</v>
      </c>
      <c r="T510" s="106">
        <f t="shared" si="7"/>
        <v>-4.988</v>
      </c>
    </row>
    <row r="511" spans="3:20">
      <c r="C511" s="105">
        <v>45044</v>
      </c>
      <c r="D511" s="106">
        <v>12.057</v>
      </c>
      <c r="E511" s="100">
        <v>16.288</v>
      </c>
      <c r="F511" s="100">
        <v>-26</v>
      </c>
      <c r="G511" s="100">
        <v>-19</v>
      </c>
      <c r="H511" s="100">
        <v>1</v>
      </c>
      <c r="I511" s="100">
        <v>-39</v>
      </c>
      <c r="K511" s="105">
        <v>45044</v>
      </c>
      <c r="L511" s="100">
        <v>23.644</v>
      </c>
      <c r="M511" s="106">
        <v>17.339</v>
      </c>
      <c r="N511" s="100">
        <v>36</v>
      </c>
      <c r="O511" s="100">
        <v>45</v>
      </c>
      <c r="P511" s="100">
        <v>66</v>
      </c>
      <c r="Q511" s="100">
        <v>25</v>
      </c>
      <c r="S511" s="105">
        <v>45044</v>
      </c>
      <c r="T511" s="106">
        <f t="shared" si="7"/>
        <v>-5.282</v>
      </c>
    </row>
    <row r="512" spans="3:20">
      <c r="C512" s="105">
        <v>45043</v>
      </c>
      <c r="D512" s="106">
        <v>11.968</v>
      </c>
      <c r="E512" s="100">
        <v>16.281</v>
      </c>
      <c r="F512" s="100">
        <v>-26</v>
      </c>
      <c r="G512" s="100">
        <v>-19</v>
      </c>
      <c r="H512" s="100">
        <v>1</v>
      </c>
      <c r="I512" s="100">
        <v>-39</v>
      </c>
      <c r="K512" s="105">
        <v>45043</v>
      </c>
      <c r="L512" s="100">
        <v>23.043</v>
      </c>
      <c r="M512" s="106">
        <v>17.247</v>
      </c>
      <c r="N512" s="100">
        <v>34</v>
      </c>
      <c r="O512" s="100">
        <v>45</v>
      </c>
      <c r="P512" s="100">
        <v>66</v>
      </c>
      <c r="Q512" s="100">
        <v>25</v>
      </c>
      <c r="S512" s="105">
        <v>45043</v>
      </c>
      <c r="T512" s="106">
        <f t="shared" si="7"/>
        <v>-5.279</v>
      </c>
    </row>
    <row r="513" spans="3:20">
      <c r="C513" s="105">
        <v>45042</v>
      </c>
      <c r="D513" s="106">
        <v>12.172</v>
      </c>
      <c r="E513" s="100">
        <v>16.438</v>
      </c>
      <c r="F513" s="100">
        <v>-26</v>
      </c>
      <c r="G513" s="100">
        <v>-19</v>
      </c>
      <c r="H513" s="100">
        <v>1</v>
      </c>
      <c r="I513" s="100">
        <v>-39</v>
      </c>
      <c r="K513" s="105">
        <v>45042</v>
      </c>
      <c r="L513" s="100">
        <v>22.696</v>
      </c>
      <c r="M513" s="106">
        <v>17.332</v>
      </c>
      <c r="N513" s="100">
        <v>31</v>
      </c>
      <c r="O513" s="100">
        <v>45</v>
      </c>
      <c r="P513" s="100">
        <v>66</v>
      </c>
      <c r="Q513" s="100">
        <v>25</v>
      </c>
      <c r="S513" s="105">
        <v>45042</v>
      </c>
      <c r="T513" s="106">
        <f t="shared" si="7"/>
        <v>-5.16</v>
      </c>
    </row>
    <row r="514" spans="3:20">
      <c r="C514" s="105">
        <v>45041</v>
      </c>
      <c r="D514" s="106">
        <v>12.439</v>
      </c>
      <c r="E514" s="100">
        <v>16.474</v>
      </c>
      <c r="F514" s="100">
        <v>-24</v>
      </c>
      <c r="G514" s="100">
        <v>-19</v>
      </c>
      <c r="H514" s="100">
        <v>1</v>
      </c>
      <c r="I514" s="100">
        <v>-39</v>
      </c>
      <c r="K514" s="105">
        <v>45041</v>
      </c>
      <c r="L514" s="100">
        <v>23.009</v>
      </c>
      <c r="M514" s="106">
        <v>17.408</v>
      </c>
      <c r="N514" s="100">
        <v>32</v>
      </c>
      <c r="O514" s="100">
        <v>45</v>
      </c>
      <c r="P514" s="100">
        <v>66</v>
      </c>
      <c r="Q514" s="100">
        <v>25</v>
      </c>
      <c r="S514" s="105">
        <v>45041</v>
      </c>
      <c r="T514" s="106">
        <f t="shared" si="7"/>
        <v>-4.969</v>
      </c>
    </row>
    <row r="515" spans="3:20">
      <c r="C515" s="105">
        <v>45040</v>
      </c>
      <c r="D515" s="106">
        <v>12.564</v>
      </c>
      <c r="E515" s="100">
        <v>16.653</v>
      </c>
      <c r="F515" s="100">
        <v>-25</v>
      </c>
      <c r="G515" s="100">
        <v>-19</v>
      </c>
      <c r="H515" s="100">
        <v>1</v>
      </c>
      <c r="I515" s="100">
        <v>-39</v>
      </c>
      <c r="K515" s="105">
        <v>45040</v>
      </c>
      <c r="L515" s="100">
        <v>22.849</v>
      </c>
      <c r="M515" s="106">
        <v>17.539</v>
      </c>
      <c r="N515" s="100">
        <v>30</v>
      </c>
      <c r="O515" s="100">
        <v>45</v>
      </c>
      <c r="P515" s="100">
        <v>66</v>
      </c>
      <c r="Q515" s="100">
        <v>25</v>
      </c>
      <c r="S515" s="105">
        <v>45040</v>
      </c>
      <c r="T515" s="106">
        <f t="shared" si="7"/>
        <v>-4.975</v>
      </c>
    </row>
    <row r="516" spans="3:20">
      <c r="C516" s="105">
        <v>45037</v>
      </c>
      <c r="D516" s="106">
        <v>12.402</v>
      </c>
      <c r="E516" s="100">
        <v>16.646</v>
      </c>
      <c r="F516" s="100">
        <v>-25</v>
      </c>
      <c r="G516" s="100">
        <v>-19</v>
      </c>
      <c r="H516" s="100">
        <v>1</v>
      </c>
      <c r="I516" s="100">
        <v>-39</v>
      </c>
      <c r="K516" s="105">
        <v>45037</v>
      </c>
      <c r="L516" s="100">
        <v>23.024</v>
      </c>
      <c r="M516" s="106">
        <v>17.557</v>
      </c>
      <c r="N516" s="100">
        <v>31</v>
      </c>
      <c r="O516" s="100">
        <v>45</v>
      </c>
      <c r="P516" s="100">
        <v>66</v>
      </c>
      <c r="Q516" s="100">
        <v>25</v>
      </c>
      <c r="S516" s="105">
        <v>45037</v>
      </c>
      <c r="T516" s="106">
        <f t="shared" si="7"/>
        <v>-5.155</v>
      </c>
    </row>
    <row r="517" spans="3:20">
      <c r="C517" s="105">
        <v>45036</v>
      </c>
      <c r="D517" s="106">
        <v>12.324</v>
      </c>
      <c r="E517" s="100">
        <v>16.53</v>
      </c>
      <c r="F517" s="100">
        <v>-25</v>
      </c>
      <c r="G517" s="100">
        <v>-19</v>
      </c>
      <c r="H517" s="100">
        <v>1</v>
      </c>
      <c r="I517" s="100">
        <v>-39</v>
      </c>
      <c r="K517" s="105">
        <v>45036</v>
      </c>
      <c r="L517" s="100">
        <v>22.652</v>
      </c>
      <c r="M517" s="106">
        <v>17.405</v>
      </c>
      <c r="N517" s="100">
        <v>30</v>
      </c>
      <c r="O517" s="100">
        <v>45</v>
      </c>
      <c r="P517" s="100">
        <v>66</v>
      </c>
      <c r="Q517" s="100">
        <v>25</v>
      </c>
      <c r="S517" s="105">
        <v>45036</v>
      </c>
      <c r="T517" s="106">
        <f t="shared" si="7"/>
        <v>-5.081</v>
      </c>
    </row>
    <row r="518" spans="3:20">
      <c r="C518" s="105">
        <v>45035</v>
      </c>
      <c r="D518" s="106">
        <v>12.276</v>
      </c>
      <c r="E518" s="100">
        <v>16.525</v>
      </c>
      <c r="F518" s="100">
        <v>-26</v>
      </c>
      <c r="G518" s="100">
        <v>-19</v>
      </c>
      <c r="H518" s="100">
        <v>1</v>
      </c>
      <c r="I518" s="100">
        <v>-39</v>
      </c>
      <c r="K518" s="105">
        <v>45035</v>
      </c>
      <c r="L518" s="100">
        <v>22.549</v>
      </c>
      <c r="M518" s="106">
        <v>17.385</v>
      </c>
      <c r="N518" s="100">
        <v>30</v>
      </c>
      <c r="O518" s="100">
        <v>45</v>
      </c>
      <c r="P518" s="100">
        <v>66</v>
      </c>
      <c r="Q518" s="100">
        <v>25</v>
      </c>
      <c r="S518" s="105">
        <v>45035</v>
      </c>
      <c r="T518" s="106">
        <f t="shared" si="7"/>
        <v>-5.109</v>
      </c>
    </row>
    <row r="519" spans="3:20">
      <c r="C519" s="105">
        <v>45034</v>
      </c>
      <c r="D519" s="106">
        <v>12.507</v>
      </c>
      <c r="E519" s="100">
        <v>16.622</v>
      </c>
      <c r="F519" s="100">
        <v>-25</v>
      </c>
      <c r="G519" s="100">
        <v>-19</v>
      </c>
      <c r="H519" s="100">
        <v>1</v>
      </c>
      <c r="I519" s="100">
        <v>-39</v>
      </c>
      <c r="K519" s="105">
        <v>45034</v>
      </c>
      <c r="L519" s="100">
        <v>22.417</v>
      </c>
      <c r="M519" s="106">
        <v>17.45</v>
      </c>
      <c r="N519" s="100">
        <v>28</v>
      </c>
      <c r="O519" s="100">
        <v>45</v>
      </c>
      <c r="P519" s="100">
        <v>66</v>
      </c>
      <c r="Q519" s="100">
        <v>25</v>
      </c>
      <c r="S519" s="105">
        <v>45034</v>
      </c>
      <c r="T519" s="106">
        <f t="shared" si="7"/>
        <v>-4.943</v>
      </c>
    </row>
    <row r="520" spans="3:20">
      <c r="C520" s="105">
        <v>45033</v>
      </c>
      <c r="D520" s="106">
        <v>12.494</v>
      </c>
      <c r="E520" s="100">
        <v>16.599</v>
      </c>
      <c r="F520" s="100">
        <v>-25</v>
      </c>
      <c r="G520" s="100">
        <v>-19</v>
      </c>
      <c r="H520" s="100">
        <v>1</v>
      </c>
      <c r="I520" s="100">
        <v>-39</v>
      </c>
      <c r="K520" s="105">
        <v>45033</v>
      </c>
      <c r="L520" s="100">
        <v>22.332</v>
      </c>
      <c r="M520" s="106">
        <v>17.418</v>
      </c>
      <c r="N520" s="100">
        <v>28</v>
      </c>
      <c r="O520" s="100">
        <v>45</v>
      </c>
      <c r="P520" s="100">
        <v>66</v>
      </c>
      <c r="Q520" s="100">
        <v>25</v>
      </c>
      <c r="S520" s="105">
        <v>45033</v>
      </c>
      <c r="T520" s="106">
        <f t="shared" si="7"/>
        <v>-4.924</v>
      </c>
    </row>
    <row r="521" spans="3:20">
      <c r="C521" s="105">
        <v>45030</v>
      </c>
      <c r="D521" s="106">
        <v>12.523</v>
      </c>
      <c r="E521" s="100">
        <v>16.631</v>
      </c>
      <c r="F521" s="100">
        <v>-25</v>
      </c>
      <c r="G521" s="100">
        <v>-19</v>
      </c>
      <c r="H521" s="100">
        <v>1</v>
      </c>
      <c r="I521" s="100">
        <v>-39</v>
      </c>
      <c r="K521" s="105">
        <v>45030</v>
      </c>
      <c r="L521" s="100">
        <v>22.63</v>
      </c>
      <c r="M521" s="106">
        <v>17.488</v>
      </c>
      <c r="N521" s="100">
        <v>29</v>
      </c>
      <c r="O521" s="100">
        <v>45</v>
      </c>
      <c r="P521" s="100">
        <v>66</v>
      </c>
      <c r="Q521" s="100">
        <v>25</v>
      </c>
      <c r="S521" s="105">
        <v>45030</v>
      </c>
      <c r="T521" s="106">
        <f t="shared" si="7"/>
        <v>-4.965</v>
      </c>
    </row>
    <row r="522" spans="3:20">
      <c r="C522" s="105">
        <v>45029</v>
      </c>
      <c r="D522" s="106">
        <v>12.505</v>
      </c>
      <c r="E522" s="100">
        <v>16.497</v>
      </c>
      <c r="F522" s="100">
        <v>-24</v>
      </c>
      <c r="G522" s="100">
        <v>-19</v>
      </c>
      <c r="H522" s="100">
        <v>1</v>
      </c>
      <c r="I522" s="100">
        <v>-39</v>
      </c>
      <c r="K522" s="105">
        <v>45029</v>
      </c>
      <c r="L522" s="100">
        <v>22.77</v>
      </c>
      <c r="M522" s="106">
        <v>17.393</v>
      </c>
      <c r="N522" s="100">
        <v>31</v>
      </c>
      <c r="O522" s="100">
        <v>45</v>
      </c>
      <c r="P522" s="100">
        <v>66</v>
      </c>
      <c r="Q522" s="100">
        <v>25</v>
      </c>
      <c r="S522" s="105">
        <v>45029</v>
      </c>
      <c r="T522" s="106">
        <f t="shared" si="7"/>
        <v>-4.888</v>
      </c>
    </row>
    <row r="523" spans="3:20">
      <c r="C523" s="105">
        <v>45028</v>
      </c>
      <c r="D523" s="106">
        <v>12.6</v>
      </c>
      <c r="E523" s="100">
        <v>16.358</v>
      </c>
      <c r="F523" s="100">
        <v>-23</v>
      </c>
      <c r="G523" s="100">
        <v>-19</v>
      </c>
      <c r="H523" s="100">
        <v>1</v>
      </c>
      <c r="I523" s="100">
        <v>-39</v>
      </c>
      <c r="K523" s="105">
        <v>45028</v>
      </c>
      <c r="L523" s="100">
        <v>22.466</v>
      </c>
      <c r="M523" s="106">
        <v>17.23</v>
      </c>
      <c r="N523" s="100">
        <v>30</v>
      </c>
      <c r="O523" s="100">
        <v>45</v>
      </c>
      <c r="P523" s="100">
        <v>66</v>
      </c>
      <c r="Q523" s="100">
        <v>25</v>
      </c>
      <c r="S523" s="105">
        <v>45028</v>
      </c>
      <c r="T523" s="106">
        <f t="shared" si="7"/>
        <v>-4.63</v>
      </c>
    </row>
    <row r="524" spans="3:20">
      <c r="C524" s="105">
        <v>45027</v>
      </c>
      <c r="D524" s="106">
        <v>12.692</v>
      </c>
      <c r="E524" s="100">
        <v>16.382</v>
      </c>
      <c r="F524" s="100">
        <v>-23</v>
      </c>
      <c r="G524" s="100">
        <v>-19</v>
      </c>
      <c r="H524" s="100">
        <v>1</v>
      </c>
      <c r="I524" s="100">
        <v>-39</v>
      </c>
      <c r="K524" s="105">
        <v>45027</v>
      </c>
      <c r="L524" s="100">
        <v>22.336</v>
      </c>
      <c r="M524" s="106">
        <v>17.232</v>
      </c>
      <c r="N524" s="100">
        <v>30</v>
      </c>
      <c r="O524" s="100">
        <v>45</v>
      </c>
      <c r="P524" s="100">
        <v>66</v>
      </c>
      <c r="Q524" s="100">
        <v>25</v>
      </c>
      <c r="S524" s="105">
        <v>45027</v>
      </c>
      <c r="T524" s="106">
        <f t="shared" si="7"/>
        <v>-4.54</v>
      </c>
    </row>
    <row r="525" spans="3:20">
      <c r="C525" s="105">
        <v>45022</v>
      </c>
      <c r="D525" s="106">
        <v>12.513</v>
      </c>
      <c r="E525" s="100">
        <v>16.277</v>
      </c>
      <c r="F525" s="100">
        <v>-23</v>
      </c>
      <c r="G525" s="100">
        <v>-19</v>
      </c>
      <c r="H525" s="100">
        <v>1</v>
      </c>
      <c r="I525" s="100">
        <v>-39</v>
      </c>
      <c r="K525" s="105">
        <v>45022</v>
      </c>
      <c r="L525" s="100">
        <v>22.643</v>
      </c>
      <c r="M525" s="106">
        <v>17.187</v>
      </c>
      <c r="N525" s="100">
        <v>32</v>
      </c>
      <c r="O525" s="100">
        <v>45</v>
      </c>
      <c r="P525" s="100">
        <v>66</v>
      </c>
      <c r="Q525" s="100">
        <v>25</v>
      </c>
      <c r="S525" s="105">
        <v>45022</v>
      </c>
      <c r="T525" s="106">
        <f t="shared" si="7"/>
        <v>-4.674</v>
      </c>
    </row>
    <row r="526" spans="3:20">
      <c r="C526" s="105">
        <v>45021</v>
      </c>
      <c r="D526" s="106">
        <v>12.589</v>
      </c>
      <c r="E526" s="100">
        <v>16.263</v>
      </c>
      <c r="F526" s="100">
        <v>-23</v>
      </c>
      <c r="G526" s="100">
        <v>-19</v>
      </c>
      <c r="H526" s="100">
        <v>1</v>
      </c>
      <c r="I526" s="100">
        <v>-39</v>
      </c>
      <c r="K526" s="105">
        <v>45021</v>
      </c>
      <c r="L526" s="100">
        <v>22.268</v>
      </c>
      <c r="M526" s="106">
        <v>17.121</v>
      </c>
      <c r="N526" s="100">
        <v>30</v>
      </c>
      <c r="O526" s="100">
        <v>45</v>
      </c>
      <c r="P526" s="100">
        <v>66</v>
      </c>
      <c r="Q526" s="100">
        <v>25</v>
      </c>
      <c r="S526" s="105">
        <v>45021</v>
      </c>
      <c r="T526" s="106">
        <f t="shared" si="7"/>
        <v>-4.532</v>
      </c>
    </row>
    <row r="527" spans="3:20">
      <c r="C527" s="105">
        <v>45020</v>
      </c>
      <c r="D527" s="106">
        <v>12.964</v>
      </c>
      <c r="E527" s="100">
        <v>16.454</v>
      </c>
      <c r="F527" s="100">
        <v>-21</v>
      </c>
      <c r="G527" s="100">
        <v>-19</v>
      </c>
      <c r="H527" s="100">
        <v>1</v>
      </c>
      <c r="I527" s="100">
        <v>-39</v>
      </c>
      <c r="K527" s="105">
        <v>45020</v>
      </c>
      <c r="L527" s="100">
        <v>22.338</v>
      </c>
      <c r="M527" s="106">
        <v>17.295</v>
      </c>
      <c r="N527" s="100">
        <v>29</v>
      </c>
      <c r="O527" s="100">
        <v>45</v>
      </c>
      <c r="P527" s="100">
        <v>66</v>
      </c>
      <c r="Q527" s="100">
        <v>25</v>
      </c>
      <c r="S527" s="105">
        <v>45020</v>
      </c>
      <c r="T527" s="106">
        <f t="shared" si="7"/>
        <v>-4.331</v>
      </c>
    </row>
    <row r="528" spans="3:20">
      <c r="C528" s="105">
        <v>45019</v>
      </c>
      <c r="D528" s="106">
        <v>13.136</v>
      </c>
      <c r="E528" s="100">
        <v>16.383</v>
      </c>
      <c r="F528" s="100">
        <v>-20</v>
      </c>
      <c r="G528" s="100">
        <v>-19</v>
      </c>
      <c r="H528" s="100">
        <v>1</v>
      </c>
      <c r="I528" s="100">
        <v>-39</v>
      </c>
      <c r="K528" s="105">
        <v>45019</v>
      </c>
      <c r="L528" s="100">
        <v>22.03</v>
      </c>
      <c r="M528" s="106">
        <v>17.189</v>
      </c>
      <c r="N528" s="100">
        <v>28</v>
      </c>
      <c r="O528" s="100">
        <v>45</v>
      </c>
      <c r="P528" s="100">
        <v>66</v>
      </c>
      <c r="Q528" s="100">
        <v>25</v>
      </c>
      <c r="S528" s="105">
        <v>45019</v>
      </c>
      <c r="T528" s="106">
        <f t="shared" si="7"/>
        <v>-4.053</v>
      </c>
    </row>
    <row r="529" spans="3:20">
      <c r="C529" s="105">
        <v>45016</v>
      </c>
      <c r="D529" s="106">
        <v>13.423</v>
      </c>
      <c r="E529" s="100">
        <v>16.671</v>
      </c>
      <c r="F529" s="100">
        <v>-19</v>
      </c>
      <c r="G529" s="100">
        <v>-19</v>
      </c>
      <c r="H529" s="100">
        <v>1</v>
      </c>
      <c r="I529" s="100">
        <v>-39</v>
      </c>
      <c r="K529" s="105">
        <v>45016</v>
      </c>
      <c r="L529" s="100">
        <v>22.422</v>
      </c>
      <c r="M529" s="106">
        <v>17.492</v>
      </c>
      <c r="N529" s="100">
        <v>28</v>
      </c>
      <c r="O529" s="100">
        <v>45</v>
      </c>
      <c r="P529" s="100">
        <v>66</v>
      </c>
      <c r="Q529" s="100">
        <v>25</v>
      </c>
      <c r="S529" s="105">
        <v>45016</v>
      </c>
      <c r="T529" s="106">
        <f t="shared" si="7"/>
        <v>-4.069</v>
      </c>
    </row>
    <row r="530" spans="3:20">
      <c r="C530" s="105">
        <v>45015</v>
      </c>
      <c r="D530" s="106">
        <v>13.246</v>
      </c>
      <c r="E530" s="100">
        <v>16.416</v>
      </c>
      <c r="F530" s="100">
        <v>-19</v>
      </c>
      <c r="G530" s="100">
        <v>-19</v>
      </c>
      <c r="H530" s="100">
        <v>1</v>
      </c>
      <c r="I530" s="100">
        <v>-39</v>
      </c>
      <c r="K530" s="105">
        <v>45015</v>
      </c>
      <c r="L530" s="100">
        <v>22.311</v>
      </c>
      <c r="M530" s="106">
        <v>17.258</v>
      </c>
      <c r="N530" s="100">
        <v>29</v>
      </c>
      <c r="O530" s="100">
        <v>45</v>
      </c>
      <c r="P530" s="100">
        <v>66</v>
      </c>
      <c r="Q530" s="100">
        <v>25</v>
      </c>
      <c r="S530" s="105">
        <v>45015</v>
      </c>
      <c r="T530" s="106">
        <f t="shared" si="7"/>
        <v>-4.012</v>
      </c>
    </row>
    <row r="531" spans="3:20">
      <c r="C531" s="105">
        <v>45014</v>
      </c>
      <c r="D531" s="106">
        <v>12.703</v>
      </c>
      <c r="E531" s="100">
        <v>15.639</v>
      </c>
      <c r="F531" s="100">
        <v>-19</v>
      </c>
      <c r="G531" s="100">
        <v>-19</v>
      </c>
      <c r="H531" s="100">
        <v>1</v>
      </c>
      <c r="I531" s="100">
        <v>-39</v>
      </c>
      <c r="K531" s="105">
        <v>45014</v>
      </c>
      <c r="L531" s="100">
        <v>22.416</v>
      </c>
      <c r="M531" s="106">
        <v>16.608</v>
      </c>
      <c r="N531" s="100">
        <v>35</v>
      </c>
      <c r="O531" s="100">
        <v>45</v>
      </c>
      <c r="P531" s="100">
        <v>66</v>
      </c>
      <c r="Q531" s="100">
        <v>25</v>
      </c>
      <c r="S531" s="105">
        <v>45014</v>
      </c>
      <c r="T531" s="106">
        <f t="shared" si="7"/>
        <v>-3.905</v>
      </c>
    </row>
    <row r="532" spans="3:20">
      <c r="C532" s="105">
        <v>45013</v>
      </c>
      <c r="D532" s="106">
        <v>12.675</v>
      </c>
      <c r="E532" s="100">
        <v>15.578</v>
      </c>
      <c r="F532" s="100">
        <v>-19</v>
      </c>
      <c r="G532" s="100">
        <v>-19</v>
      </c>
      <c r="H532" s="100">
        <v>1</v>
      </c>
      <c r="I532" s="100">
        <v>-39</v>
      </c>
      <c r="K532" s="105">
        <v>45013</v>
      </c>
      <c r="L532" s="100">
        <v>22.228</v>
      </c>
      <c r="M532" s="106">
        <v>16.528</v>
      </c>
      <c r="N532" s="100">
        <v>34</v>
      </c>
      <c r="O532" s="100">
        <v>45</v>
      </c>
      <c r="P532" s="100">
        <v>66</v>
      </c>
      <c r="Q532" s="100">
        <v>25</v>
      </c>
      <c r="S532" s="105">
        <v>45013</v>
      </c>
      <c r="T532" s="106">
        <f t="shared" si="7"/>
        <v>-3.853</v>
      </c>
    </row>
    <row r="533" spans="3:20">
      <c r="C533" s="105">
        <v>45012</v>
      </c>
      <c r="D533" s="106">
        <v>12.56</v>
      </c>
      <c r="E533" s="100">
        <v>15.546</v>
      </c>
      <c r="F533" s="100">
        <v>-19</v>
      </c>
      <c r="G533" s="100">
        <v>-19</v>
      </c>
      <c r="H533" s="100">
        <v>1</v>
      </c>
      <c r="I533" s="100">
        <v>-39</v>
      </c>
      <c r="K533" s="105">
        <v>45012</v>
      </c>
      <c r="L533" s="100">
        <v>22.488</v>
      </c>
      <c r="M533" s="106">
        <v>16.538</v>
      </c>
      <c r="N533" s="100">
        <v>36</v>
      </c>
      <c r="O533" s="100">
        <v>45</v>
      </c>
      <c r="P533" s="100">
        <v>66</v>
      </c>
      <c r="Q533" s="100">
        <v>25</v>
      </c>
      <c r="S533" s="105">
        <v>45012</v>
      </c>
      <c r="T533" s="106">
        <f t="shared" si="7"/>
        <v>-3.978</v>
      </c>
    </row>
    <row r="534" spans="3:20">
      <c r="C534" s="105">
        <v>45009</v>
      </c>
      <c r="D534" s="106">
        <v>12.408</v>
      </c>
      <c r="E534" s="100">
        <v>15.395</v>
      </c>
      <c r="F534" s="100">
        <v>-19</v>
      </c>
      <c r="G534" s="100">
        <v>-19</v>
      </c>
      <c r="H534" s="100">
        <v>1</v>
      </c>
      <c r="I534" s="100">
        <v>-39</v>
      </c>
      <c r="K534" s="105">
        <v>45009</v>
      </c>
      <c r="L534" s="100">
        <v>22.367</v>
      </c>
      <c r="M534" s="106">
        <v>16.391</v>
      </c>
      <c r="N534" s="100">
        <v>36</v>
      </c>
      <c r="O534" s="100">
        <v>45</v>
      </c>
      <c r="P534" s="100">
        <v>66</v>
      </c>
      <c r="Q534" s="100">
        <v>25</v>
      </c>
      <c r="S534" s="105">
        <v>45009</v>
      </c>
      <c r="T534" s="106">
        <f t="shared" ref="T534:T597" si="8">D534-M534</f>
        <v>-3.983</v>
      </c>
    </row>
    <row r="535" spans="3:20">
      <c r="C535" s="105">
        <v>45008</v>
      </c>
      <c r="D535" s="106">
        <v>12.946</v>
      </c>
      <c r="E535" s="100">
        <v>15.662</v>
      </c>
      <c r="F535" s="100">
        <v>-17</v>
      </c>
      <c r="G535" s="100">
        <v>-19</v>
      </c>
      <c r="H535" s="100">
        <v>1</v>
      </c>
      <c r="I535" s="100">
        <v>-39</v>
      </c>
      <c r="K535" s="105">
        <v>45008</v>
      </c>
      <c r="L535" s="100">
        <v>22.456</v>
      </c>
      <c r="M535" s="106">
        <v>16.632</v>
      </c>
      <c r="N535" s="100">
        <v>35</v>
      </c>
      <c r="O535" s="100">
        <v>45</v>
      </c>
      <c r="P535" s="100">
        <v>66</v>
      </c>
      <c r="Q535" s="100">
        <v>25</v>
      </c>
      <c r="S535" s="105">
        <v>45008</v>
      </c>
      <c r="T535" s="106">
        <f t="shared" si="8"/>
        <v>-3.686</v>
      </c>
    </row>
    <row r="536" spans="3:20">
      <c r="C536" s="105">
        <v>45007</v>
      </c>
      <c r="D536" s="106">
        <v>13.034</v>
      </c>
      <c r="E536" s="100">
        <v>15.65</v>
      </c>
      <c r="F536" s="100">
        <v>-17</v>
      </c>
      <c r="G536" s="100">
        <v>-19</v>
      </c>
      <c r="H536" s="100">
        <v>1</v>
      </c>
      <c r="I536" s="100">
        <v>-39</v>
      </c>
      <c r="K536" s="105">
        <v>45007</v>
      </c>
      <c r="L536" s="100">
        <v>22.181</v>
      </c>
      <c r="M536" s="106">
        <v>16.583</v>
      </c>
      <c r="N536" s="100">
        <v>34</v>
      </c>
      <c r="O536" s="100">
        <v>45</v>
      </c>
      <c r="P536" s="100">
        <v>66</v>
      </c>
      <c r="Q536" s="100">
        <v>25</v>
      </c>
      <c r="S536" s="105">
        <v>45007</v>
      </c>
      <c r="T536" s="106">
        <f t="shared" si="8"/>
        <v>-3.549</v>
      </c>
    </row>
    <row r="537" spans="3:20">
      <c r="C537" s="105">
        <v>45006</v>
      </c>
      <c r="D537" s="106">
        <v>12.858</v>
      </c>
      <c r="E537" s="100">
        <v>15.659</v>
      </c>
      <c r="F537" s="100">
        <v>-18</v>
      </c>
      <c r="G537" s="100">
        <v>-19</v>
      </c>
      <c r="H537" s="100">
        <v>1</v>
      </c>
      <c r="I537" s="100">
        <v>-39</v>
      </c>
      <c r="K537" s="105">
        <v>45006</v>
      </c>
      <c r="L537" s="100">
        <v>22.361</v>
      </c>
      <c r="M537" s="106">
        <v>16.617</v>
      </c>
      <c r="N537" s="100">
        <v>35</v>
      </c>
      <c r="O537" s="100">
        <v>45</v>
      </c>
      <c r="P537" s="100">
        <v>66</v>
      </c>
      <c r="Q537" s="100">
        <v>25</v>
      </c>
      <c r="S537" s="105">
        <v>45006</v>
      </c>
      <c r="T537" s="106">
        <f t="shared" si="8"/>
        <v>-3.759</v>
      </c>
    </row>
    <row r="538" spans="3:20">
      <c r="C538" s="105">
        <v>45005</v>
      </c>
      <c r="D538" s="106">
        <v>12.45</v>
      </c>
      <c r="E538" s="100">
        <v>15.278</v>
      </c>
      <c r="F538" s="100">
        <v>-19</v>
      </c>
      <c r="G538" s="100">
        <v>-19</v>
      </c>
      <c r="H538" s="100">
        <v>1</v>
      </c>
      <c r="I538" s="100">
        <v>-39</v>
      </c>
      <c r="K538" s="105">
        <v>45005</v>
      </c>
      <c r="L538" s="100">
        <v>21.777</v>
      </c>
      <c r="M538" s="106">
        <v>16.206</v>
      </c>
      <c r="N538" s="100">
        <v>34</v>
      </c>
      <c r="O538" s="100">
        <v>45</v>
      </c>
      <c r="P538" s="100">
        <v>66</v>
      </c>
      <c r="Q538" s="100">
        <v>25</v>
      </c>
      <c r="S538" s="105">
        <v>45005</v>
      </c>
      <c r="T538" s="106">
        <f t="shared" si="8"/>
        <v>-3.756</v>
      </c>
    </row>
    <row r="539" spans="3:20">
      <c r="C539" s="105">
        <v>45002</v>
      </c>
      <c r="D539" s="106">
        <v>12.31</v>
      </c>
      <c r="E539" s="100">
        <v>15.17</v>
      </c>
      <c r="F539" s="100">
        <v>-19</v>
      </c>
      <c r="G539" s="100">
        <v>-19</v>
      </c>
      <c r="H539" s="100">
        <v>1</v>
      </c>
      <c r="I539" s="100">
        <v>-39</v>
      </c>
      <c r="K539" s="105">
        <v>45002</v>
      </c>
      <c r="L539" s="100">
        <v>21.672</v>
      </c>
      <c r="M539" s="106">
        <v>16.099</v>
      </c>
      <c r="N539" s="100">
        <v>35</v>
      </c>
      <c r="O539" s="100">
        <v>45</v>
      </c>
      <c r="P539" s="100">
        <v>66</v>
      </c>
      <c r="Q539" s="100">
        <v>25</v>
      </c>
      <c r="S539" s="105">
        <v>45002</v>
      </c>
      <c r="T539" s="106">
        <f t="shared" si="8"/>
        <v>-3.789</v>
      </c>
    </row>
    <row r="540" spans="3:20">
      <c r="C540" s="105">
        <v>45001</v>
      </c>
      <c r="D540" s="106">
        <v>12.644</v>
      </c>
      <c r="E540" s="100">
        <v>15.42</v>
      </c>
      <c r="F540" s="100">
        <v>-18</v>
      </c>
      <c r="G540" s="100">
        <v>-19</v>
      </c>
      <c r="H540" s="100">
        <v>1</v>
      </c>
      <c r="I540" s="100">
        <v>-39</v>
      </c>
      <c r="K540" s="105">
        <v>45001</v>
      </c>
      <c r="L540" s="100">
        <v>21.908</v>
      </c>
      <c r="M540" s="106">
        <v>16.347</v>
      </c>
      <c r="N540" s="100">
        <v>34</v>
      </c>
      <c r="O540" s="100">
        <v>45</v>
      </c>
      <c r="P540" s="100">
        <v>66</v>
      </c>
      <c r="Q540" s="100">
        <v>25</v>
      </c>
      <c r="S540" s="105">
        <v>45001</v>
      </c>
      <c r="T540" s="106">
        <f t="shared" si="8"/>
        <v>-3.703</v>
      </c>
    </row>
    <row r="541" spans="3:20">
      <c r="C541" s="105">
        <v>45000</v>
      </c>
      <c r="D541" s="106">
        <v>12.281</v>
      </c>
      <c r="E541" s="100">
        <v>15.11</v>
      </c>
      <c r="F541" s="100">
        <v>-19</v>
      </c>
      <c r="G541" s="100">
        <v>-19</v>
      </c>
      <c r="H541" s="100">
        <v>1</v>
      </c>
      <c r="I541" s="100">
        <v>-39</v>
      </c>
      <c r="K541" s="105">
        <v>45000</v>
      </c>
      <c r="L541" s="100">
        <v>21.539</v>
      </c>
      <c r="M541" s="106">
        <v>16.029</v>
      </c>
      <c r="N541" s="100">
        <v>34</v>
      </c>
      <c r="O541" s="100">
        <v>45</v>
      </c>
      <c r="P541" s="100">
        <v>66</v>
      </c>
      <c r="Q541" s="100">
        <v>25</v>
      </c>
      <c r="S541" s="105">
        <v>45000</v>
      </c>
      <c r="T541" s="106">
        <f t="shared" si="8"/>
        <v>-3.748</v>
      </c>
    </row>
    <row r="542" spans="3:20">
      <c r="C542" s="105">
        <v>44999</v>
      </c>
      <c r="D542" s="106">
        <v>12.802</v>
      </c>
      <c r="E542" s="100">
        <v>16.017</v>
      </c>
      <c r="F542" s="100">
        <v>-20</v>
      </c>
      <c r="G542" s="100">
        <v>-19</v>
      </c>
      <c r="H542" s="100">
        <v>1</v>
      </c>
      <c r="I542" s="100">
        <v>-39</v>
      </c>
      <c r="K542" s="105">
        <v>44999</v>
      </c>
      <c r="L542" s="100">
        <v>21.85</v>
      </c>
      <c r="M542" s="106">
        <v>16.85</v>
      </c>
      <c r="N542" s="100">
        <v>30</v>
      </c>
      <c r="O542" s="100">
        <v>45</v>
      </c>
      <c r="P542" s="100">
        <v>66</v>
      </c>
      <c r="Q542" s="100">
        <v>25</v>
      </c>
      <c r="S542" s="105">
        <v>44999</v>
      </c>
      <c r="T542" s="106">
        <f t="shared" si="8"/>
        <v>-4.048</v>
      </c>
    </row>
    <row r="543" spans="3:20">
      <c r="C543" s="105">
        <v>44998</v>
      </c>
      <c r="D543" s="106">
        <v>12.629</v>
      </c>
      <c r="E543" s="100">
        <v>15.815</v>
      </c>
      <c r="F543" s="100">
        <v>-20</v>
      </c>
      <c r="G543" s="100">
        <v>-19</v>
      </c>
      <c r="H543" s="100">
        <v>1</v>
      </c>
      <c r="I543" s="100">
        <v>-39</v>
      </c>
      <c r="K543" s="105">
        <v>44998</v>
      </c>
      <c r="L543" s="100">
        <v>21.826</v>
      </c>
      <c r="M543" s="106">
        <v>16.673</v>
      </c>
      <c r="N543" s="100">
        <v>31</v>
      </c>
      <c r="O543" s="100">
        <v>45</v>
      </c>
      <c r="P543" s="100">
        <v>66</v>
      </c>
      <c r="Q543" s="100">
        <v>25</v>
      </c>
      <c r="S543" s="105">
        <v>44998</v>
      </c>
      <c r="T543" s="106">
        <f t="shared" si="8"/>
        <v>-4.044</v>
      </c>
    </row>
    <row r="544" spans="3:20">
      <c r="C544" s="105">
        <v>44995</v>
      </c>
      <c r="D544" s="106">
        <v>13.2</v>
      </c>
      <c r="E544" s="100">
        <v>16.174</v>
      </c>
      <c r="F544" s="100">
        <v>-18</v>
      </c>
      <c r="G544" s="100">
        <v>-19</v>
      </c>
      <c r="H544" s="100">
        <v>1</v>
      </c>
      <c r="I544" s="100">
        <v>-39</v>
      </c>
      <c r="K544" s="105">
        <v>44995</v>
      </c>
      <c r="L544" s="100">
        <v>22.071</v>
      </c>
      <c r="M544" s="106">
        <v>17.017</v>
      </c>
      <c r="N544" s="100">
        <v>30</v>
      </c>
      <c r="O544" s="100">
        <v>45</v>
      </c>
      <c r="P544" s="100">
        <v>66</v>
      </c>
      <c r="Q544" s="100">
        <v>25</v>
      </c>
      <c r="S544" s="105">
        <v>44995</v>
      </c>
      <c r="T544" s="106">
        <f t="shared" si="8"/>
        <v>-3.817</v>
      </c>
    </row>
    <row r="545" spans="3:20">
      <c r="C545" s="105">
        <v>44994</v>
      </c>
      <c r="D545" s="106">
        <v>13.622</v>
      </c>
      <c r="E545" s="100">
        <v>16.562</v>
      </c>
      <c r="F545" s="100">
        <v>-18</v>
      </c>
      <c r="G545" s="100">
        <v>-19</v>
      </c>
      <c r="H545" s="100">
        <v>1</v>
      </c>
      <c r="I545" s="100">
        <v>-39</v>
      </c>
      <c r="K545" s="105">
        <v>44994</v>
      </c>
      <c r="L545" s="100">
        <v>22.145</v>
      </c>
      <c r="M545" s="106">
        <v>17.36</v>
      </c>
      <c r="N545" s="100">
        <v>28</v>
      </c>
      <c r="O545" s="100">
        <v>45</v>
      </c>
      <c r="P545" s="100">
        <v>66</v>
      </c>
      <c r="Q545" s="100">
        <v>25</v>
      </c>
      <c r="S545" s="105">
        <v>44994</v>
      </c>
      <c r="T545" s="106">
        <f t="shared" si="8"/>
        <v>-3.738</v>
      </c>
    </row>
    <row r="546" spans="3:20">
      <c r="C546" s="105">
        <v>44993</v>
      </c>
      <c r="D546" s="106">
        <v>13.642</v>
      </c>
      <c r="E546" s="100">
        <v>16.597</v>
      </c>
      <c r="F546" s="100">
        <v>-18</v>
      </c>
      <c r="G546" s="100">
        <v>-19</v>
      </c>
      <c r="H546" s="100">
        <v>1</v>
      </c>
      <c r="I546" s="100">
        <v>-39</v>
      </c>
      <c r="K546" s="105">
        <v>44993</v>
      </c>
      <c r="L546" s="100">
        <v>22.54</v>
      </c>
      <c r="M546" s="106">
        <v>17.446</v>
      </c>
      <c r="N546" s="100">
        <v>29</v>
      </c>
      <c r="O546" s="100">
        <v>45</v>
      </c>
      <c r="P546" s="100">
        <v>66</v>
      </c>
      <c r="Q546" s="100">
        <v>25</v>
      </c>
      <c r="S546" s="105">
        <v>44993</v>
      </c>
      <c r="T546" s="106">
        <f t="shared" si="8"/>
        <v>-3.804</v>
      </c>
    </row>
    <row r="547" spans="3:20">
      <c r="C547" s="105">
        <v>44992</v>
      </c>
      <c r="D547" s="106">
        <v>13.773</v>
      </c>
      <c r="E547" s="100">
        <v>16.633</v>
      </c>
      <c r="F547" s="100">
        <v>-17</v>
      </c>
      <c r="G547" s="100">
        <v>-19</v>
      </c>
      <c r="H547" s="100">
        <v>1</v>
      </c>
      <c r="I547" s="100">
        <v>-39</v>
      </c>
      <c r="K547" s="105">
        <v>44992</v>
      </c>
      <c r="L547" s="100">
        <v>22.511</v>
      </c>
      <c r="M547" s="106">
        <v>17.473</v>
      </c>
      <c r="N547" s="100">
        <v>29</v>
      </c>
      <c r="O547" s="100">
        <v>45</v>
      </c>
      <c r="P547" s="100">
        <v>66</v>
      </c>
      <c r="Q547" s="100">
        <v>25</v>
      </c>
      <c r="S547" s="105">
        <v>44992</v>
      </c>
      <c r="T547" s="106">
        <f t="shared" si="8"/>
        <v>-3.7</v>
      </c>
    </row>
    <row r="548" spans="3:20">
      <c r="C548" s="105">
        <v>44991</v>
      </c>
      <c r="D548" s="106">
        <v>13.737</v>
      </c>
      <c r="E548" s="100">
        <v>16.75</v>
      </c>
      <c r="F548" s="100">
        <v>-18</v>
      </c>
      <c r="G548" s="100">
        <v>-19</v>
      </c>
      <c r="H548" s="100">
        <v>1</v>
      </c>
      <c r="I548" s="100">
        <v>-39</v>
      </c>
      <c r="K548" s="105">
        <v>44991</v>
      </c>
      <c r="L548" s="100">
        <v>22.639</v>
      </c>
      <c r="M548" s="106">
        <v>17.592</v>
      </c>
      <c r="N548" s="100">
        <v>29</v>
      </c>
      <c r="O548" s="100">
        <v>45</v>
      </c>
      <c r="P548" s="100">
        <v>66</v>
      </c>
      <c r="Q548" s="100">
        <v>25</v>
      </c>
      <c r="S548" s="105">
        <v>44991</v>
      </c>
      <c r="T548" s="106">
        <f t="shared" si="8"/>
        <v>-3.855</v>
      </c>
    </row>
    <row r="549" spans="3:20">
      <c r="C549" s="105">
        <v>44988</v>
      </c>
      <c r="D549" s="106">
        <v>13.849</v>
      </c>
      <c r="E549" s="100">
        <v>16.701</v>
      </c>
      <c r="F549" s="100">
        <v>-17</v>
      </c>
      <c r="G549" s="100">
        <v>-19</v>
      </c>
      <c r="H549" s="100">
        <v>1</v>
      </c>
      <c r="I549" s="100">
        <v>-39</v>
      </c>
      <c r="K549" s="105">
        <v>44988</v>
      </c>
      <c r="L549" s="100">
        <v>22.959</v>
      </c>
      <c r="M549" s="106">
        <v>17.595</v>
      </c>
      <c r="N549" s="100">
        <v>30</v>
      </c>
      <c r="O549" s="100">
        <v>45</v>
      </c>
      <c r="P549" s="100">
        <v>66</v>
      </c>
      <c r="Q549" s="100">
        <v>25</v>
      </c>
      <c r="S549" s="105">
        <v>44988</v>
      </c>
      <c r="T549" s="106">
        <f t="shared" si="8"/>
        <v>-3.746</v>
      </c>
    </row>
    <row r="550" spans="3:20">
      <c r="C550" s="105">
        <v>44987</v>
      </c>
      <c r="D550" s="106">
        <v>13.789</v>
      </c>
      <c r="E550" s="100">
        <v>16.633</v>
      </c>
      <c r="F550" s="100">
        <v>-17</v>
      </c>
      <c r="G550" s="100">
        <v>-19</v>
      </c>
      <c r="H550" s="100">
        <v>1</v>
      </c>
      <c r="I550" s="100">
        <v>-39</v>
      </c>
      <c r="K550" s="105">
        <v>44987</v>
      </c>
      <c r="L550" s="100">
        <v>22.16</v>
      </c>
      <c r="M550" s="106">
        <v>17.423</v>
      </c>
      <c r="N550" s="100">
        <v>27</v>
      </c>
      <c r="O550" s="100">
        <v>45</v>
      </c>
      <c r="P550" s="100">
        <v>66</v>
      </c>
      <c r="Q550" s="100">
        <v>25</v>
      </c>
      <c r="S550" s="105">
        <v>44987</v>
      </c>
      <c r="T550" s="106">
        <f t="shared" si="8"/>
        <v>-3.634</v>
      </c>
    </row>
    <row r="551" spans="3:20">
      <c r="C551" s="105">
        <v>44986</v>
      </c>
      <c r="D551" s="106">
        <v>13.698</v>
      </c>
      <c r="E551" s="100">
        <v>16.582</v>
      </c>
      <c r="F551" s="100">
        <v>-17</v>
      </c>
      <c r="G551" s="100">
        <v>-19</v>
      </c>
      <c r="H551" s="100">
        <v>1</v>
      </c>
      <c r="I551" s="100">
        <v>-39</v>
      </c>
      <c r="K551" s="105">
        <v>44986</v>
      </c>
      <c r="L551" s="100">
        <v>22.199</v>
      </c>
      <c r="M551" s="106">
        <v>17.385</v>
      </c>
      <c r="N551" s="100">
        <v>28</v>
      </c>
      <c r="O551" s="100">
        <v>45</v>
      </c>
      <c r="P551" s="100">
        <v>66</v>
      </c>
      <c r="Q551" s="100">
        <v>25</v>
      </c>
      <c r="S551" s="105">
        <v>44986</v>
      </c>
      <c r="T551" s="106">
        <f t="shared" si="8"/>
        <v>-3.687</v>
      </c>
    </row>
    <row r="552" spans="3:20">
      <c r="C552" s="105">
        <v>44985</v>
      </c>
      <c r="D552" s="106">
        <v>13.803</v>
      </c>
      <c r="E552" s="100">
        <v>16.61</v>
      </c>
      <c r="F552" s="100">
        <v>-17</v>
      </c>
      <c r="G552" s="100">
        <v>-19</v>
      </c>
      <c r="H552" s="100">
        <v>1</v>
      </c>
      <c r="I552" s="100">
        <v>-39</v>
      </c>
      <c r="K552" s="105">
        <v>44985</v>
      </c>
      <c r="L552" s="100">
        <v>22.163</v>
      </c>
      <c r="M552" s="106">
        <v>17.403</v>
      </c>
      <c r="N552" s="100">
        <v>27</v>
      </c>
      <c r="O552" s="100">
        <v>45</v>
      </c>
      <c r="P552" s="100">
        <v>66</v>
      </c>
      <c r="Q552" s="100">
        <v>25</v>
      </c>
      <c r="S552" s="105">
        <v>44985</v>
      </c>
      <c r="T552" s="106">
        <f t="shared" si="8"/>
        <v>-3.6</v>
      </c>
    </row>
    <row r="553" spans="3:20">
      <c r="C553" s="105">
        <v>44984</v>
      </c>
      <c r="D553" s="106">
        <v>13.627</v>
      </c>
      <c r="E553" s="100">
        <v>16.583</v>
      </c>
      <c r="F553" s="100">
        <v>-18</v>
      </c>
      <c r="G553" s="100">
        <v>-19</v>
      </c>
      <c r="H553" s="100">
        <v>1</v>
      </c>
      <c r="I553" s="100">
        <v>-39</v>
      </c>
      <c r="K553" s="105">
        <v>44984</v>
      </c>
      <c r="L553" s="100">
        <v>22.44</v>
      </c>
      <c r="M553" s="106">
        <v>17.419</v>
      </c>
      <c r="N553" s="100">
        <v>29</v>
      </c>
      <c r="O553" s="100">
        <v>45</v>
      </c>
      <c r="P553" s="100">
        <v>66</v>
      </c>
      <c r="Q553" s="100">
        <v>25</v>
      </c>
      <c r="S553" s="105">
        <v>44984</v>
      </c>
      <c r="T553" s="106">
        <f t="shared" si="8"/>
        <v>-3.792</v>
      </c>
    </row>
    <row r="554" spans="3:20">
      <c r="C554" s="105">
        <v>44981</v>
      </c>
      <c r="D554" s="106">
        <v>13.637</v>
      </c>
      <c r="E554" s="100">
        <v>16.301</v>
      </c>
      <c r="F554" s="100">
        <v>-16</v>
      </c>
      <c r="G554" s="100">
        <v>-19</v>
      </c>
      <c r="H554" s="100">
        <v>1</v>
      </c>
      <c r="I554" s="100">
        <v>-39</v>
      </c>
      <c r="K554" s="105">
        <v>44981</v>
      </c>
      <c r="L554" s="100">
        <v>22.648</v>
      </c>
      <c r="M554" s="106">
        <v>17.208</v>
      </c>
      <c r="N554" s="100">
        <v>32</v>
      </c>
      <c r="O554" s="100">
        <v>45</v>
      </c>
      <c r="P554" s="100">
        <v>66</v>
      </c>
      <c r="Q554" s="100">
        <v>25</v>
      </c>
      <c r="S554" s="105">
        <v>44981</v>
      </c>
      <c r="T554" s="106">
        <f t="shared" si="8"/>
        <v>-3.571</v>
      </c>
    </row>
    <row r="555" spans="3:20">
      <c r="C555" s="105">
        <v>44980</v>
      </c>
      <c r="D555" s="106">
        <v>13.808</v>
      </c>
      <c r="E555" s="100">
        <v>16.364</v>
      </c>
      <c r="F555" s="100">
        <v>-16</v>
      </c>
      <c r="G555" s="100">
        <v>-19</v>
      </c>
      <c r="H555" s="100">
        <v>1</v>
      </c>
      <c r="I555" s="100">
        <v>-39</v>
      </c>
      <c r="K555" s="105">
        <v>44980</v>
      </c>
      <c r="L555" s="100">
        <v>22.355</v>
      </c>
      <c r="M555" s="106">
        <v>17.22</v>
      </c>
      <c r="N555" s="100">
        <v>30</v>
      </c>
      <c r="O555" s="100">
        <v>45</v>
      </c>
      <c r="P555" s="100">
        <v>66</v>
      </c>
      <c r="Q555" s="100">
        <v>25</v>
      </c>
      <c r="S555" s="105">
        <v>44980</v>
      </c>
      <c r="T555" s="106">
        <f t="shared" si="8"/>
        <v>-3.412</v>
      </c>
    </row>
    <row r="556" spans="3:20">
      <c r="C556" s="105">
        <v>44979</v>
      </c>
      <c r="D556" s="106">
        <v>13.755</v>
      </c>
      <c r="E556" s="100">
        <v>16.345</v>
      </c>
      <c r="F556" s="100">
        <v>-16</v>
      </c>
      <c r="G556" s="100">
        <v>-19</v>
      </c>
      <c r="H556" s="100">
        <v>1</v>
      </c>
      <c r="I556" s="100">
        <v>-39</v>
      </c>
      <c r="K556" s="105">
        <v>44979</v>
      </c>
      <c r="L556" s="100">
        <v>22.367</v>
      </c>
      <c r="M556" s="106">
        <v>17.206</v>
      </c>
      <c r="N556" s="100">
        <v>30</v>
      </c>
      <c r="O556" s="100">
        <v>45</v>
      </c>
      <c r="P556" s="100">
        <v>66</v>
      </c>
      <c r="Q556" s="100">
        <v>25</v>
      </c>
      <c r="S556" s="105">
        <v>44979</v>
      </c>
      <c r="T556" s="106">
        <f t="shared" si="8"/>
        <v>-3.451</v>
      </c>
    </row>
    <row r="557" spans="3:20">
      <c r="C557" s="105">
        <v>44978</v>
      </c>
      <c r="D557" s="106">
        <v>13.818</v>
      </c>
      <c r="E557" s="100">
        <v>16.401</v>
      </c>
      <c r="F557" s="100">
        <v>-16</v>
      </c>
      <c r="G557" s="100">
        <v>-19</v>
      </c>
      <c r="H557" s="100">
        <v>1</v>
      </c>
      <c r="I557" s="100">
        <v>-39</v>
      </c>
      <c r="K557" s="105">
        <v>44978</v>
      </c>
      <c r="L557" s="100">
        <v>22.593</v>
      </c>
      <c r="M557" s="106">
        <v>17.285</v>
      </c>
      <c r="N557" s="100">
        <v>31</v>
      </c>
      <c r="O557" s="100">
        <v>45</v>
      </c>
      <c r="P557" s="100">
        <v>66</v>
      </c>
      <c r="Q557" s="100">
        <v>25</v>
      </c>
      <c r="S557" s="105">
        <v>44978</v>
      </c>
      <c r="T557" s="106">
        <f t="shared" si="8"/>
        <v>-3.467</v>
      </c>
    </row>
    <row r="558" spans="3:20">
      <c r="C558" s="105">
        <v>44977</v>
      </c>
      <c r="D558" s="106">
        <v>13.728</v>
      </c>
      <c r="E558" s="100">
        <v>16.451</v>
      </c>
      <c r="F558" s="100">
        <v>-17</v>
      </c>
      <c r="G558" s="100">
        <v>-19</v>
      </c>
      <c r="H558" s="100">
        <v>1</v>
      </c>
      <c r="I558" s="100">
        <v>-39</v>
      </c>
      <c r="K558" s="105">
        <v>44977</v>
      </c>
      <c r="L558" s="100">
        <v>22.653</v>
      </c>
      <c r="M558" s="106">
        <v>17.337</v>
      </c>
      <c r="N558" s="100">
        <v>31</v>
      </c>
      <c r="O558" s="100">
        <v>45</v>
      </c>
      <c r="P558" s="100">
        <v>66</v>
      </c>
      <c r="Q558" s="100">
        <v>25</v>
      </c>
      <c r="S558" s="105">
        <v>44977</v>
      </c>
      <c r="T558" s="106">
        <f t="shared" si="8"/>
        <v>-3.609</v>
      </c>
    </row>
    <row r="559" spans="3:20">
      <c r="C559" s="105">
        <v>44974</v>
      </c>
      <c r="D559" s="106">
        <v>13.839</v>
      </c>
      <c r="E559" s="100">
        <v>16.574</v>
      </c>
      <c r="F559" s="100">
        <v>-17</v>
      </c>
      <c r="G559" s="100">
        <v>-19</v>
      </c>
      <c r="H559" s="100">
        <v>1</v>
      </c>
      <c r="I559" s="100">
        <v>-39</v>
      </c>
      <c r="K559" s="105">
        <v>44974</v>
      </c>
      <c r="L559" s="100">
        <v>22.753</v>
      </c>
      <c r="M559" s="106">
        <v>17.457</v>
      </c>
      <c r="N559" s="100">
        <v>30</v>
      </c>
      <c r="O559" s="100">
        <v>45</v>
      </c>
      <c r="P559" s="100">
        <v>66</v>
      </c>
      <c r="Q559" s="100">
        <v>25</v>
      </c>
      <c r="S559" s="105">
        <v>44974</v>
      </c>
      <c r="T559" s="106">
        <f t="shared" si="8"/>
        <v>-3.618</v>
      </c>
    </row>
    <row r="560" spans="3:20">
      <c r="C560" s="105">
        <v>44973</v>
      </c>
      <c r="D560" s="106">
        <v>14.011</v>
      </c>
      <c r="E560" s="100">
        <v>16.543</v>
      </c>
      <c r="F560" s="100">
        <v>-15</v>
      </c>
      <c r="G560" s="100">
        <v>-19</v>
      </c>
      <c r="H560" s="100">
        <v>1</v>
      </c>
      <c r="I560" s="100">
        <v>-39</v>
      </c>
      <c r="K560" s="105">
        <v>44973</v>
      </c>
      <c r="L560" s="100">
        <v>23</v>
      </c>
      <c r="M560" s="106">
        <v>17.465</v>
      </c>
      <c r="N560" s="100">
        <v>32</v>
      </c>
      <c r="O560" s="100">
        <v>45</v>
      </c>
      <c r="P560" s="100">
        <v>66</v>
      </c>
      <c r="Q560" s="100">
        <v>25</v>
      </c>
      <c r="S560" s="105">
        <v>44973</v>
      </c>
      <c r="T560" s="106">
        <f t="shared" si="8"/>
        <v>-3.454</v>
      </c>
    </row>
    <row r="561" spans="3:20">
      <c r="C561" s="105">
        <v>44972</v>
      </c>
      <c r="D561" s="106">
        <v>13.937</v>
      </c>
      <c r="E561" s="100">
        <v>16.461</v>
      </c>
      <c r="F561" s="100">
        <v>-15</v>
      </c>
      <c r="G561" s="100">
        <v>-19</v>
      </c>
      <c r="H561" s="100">
        <v>1</v>
      </c>
      <c r="I561" s="100">
        <v>-39</v>
      </c>
      <c r="K561" s="105">
        <v>44972</v>
      </c>
      <c r="L561" s="100">
        <v>23.138</v>
      </c>
      <c r="M561" s="106">
        <v>17.415</v>
      </c>
      <c r="N561" s="100">
        <v>33</v>
      </c>
      <c r="O561" s="100">
        <v>45</v>
      </c>
      <c r="P561" s="100">
        <v>66</v>
      </c>
      <c r="Q561" s="100">
        <v>25</v>
      </c>
      <c r="S561" s="105">
        <v>44972</v>
      </c>
      <c r="T561" s="106">
        <f t="shared" si="8"/>
        <v>-3.478</v>
      </c>
    </row>
    <row r="562" spans="3:20">
      <c r="C562" s="105">
        <v>44971</v>
      </c>
      <c r="D562" s="106">
        <v>13.663</v>
      </c>
      <c r="E562" s="100">
        <v>16.313</v>
      </c>
      <c r="F562" s="100">
        <v>-16</v>
      </c>
      <c r="G562" s="100">
        <v>-19</v>
      </c>
      <c r="H562" s="100">
        <v>1</v>
      </c>
      <c r="I562" s="100">
        <v>-39</v>
      </c>
      <c r="K562" s="105">
        <v>44971</v>
      </c>
      <c r="L562" s="100">
        <v>22.911</v>
      </c>
      <c r="M562" s="106">
        <v>17.255</v>
      </c>
      <c r="N562" s="100">
        <v>33</v>
      </c>
      <c r="O562" s="100">
        <v>45</v>
      </c>
      <c r="P562" s="100">
        <v>66</v>
      </c>
      <c r="Q562" s="100">
        <v>25</v>
      </c>
      <c r="S562" s="105">
        <v>44971</v>
      </c>
      <c r="T562" s="106">
        <f t="shared" si="8"/>
        <v>-3.592</v>
      </c>
    </row>
    <row r="563" spans="3:20">
      <c r="C563" s="105">
        <v>44970</v>
      </c>
      <c r="D563" s="106">
        <v>13.868</v>
      </c>
      <c r="E563" s="100">
        <v>16.366</v>
      </c>
      <c r="F563" s="100">
        <v>-15</v>
      </c>
      <c r="G563" s="100">
        <v>-19</v>
      </c>
      <c r="H563" s="100">
        <v>1</v>
      </c>
      <c r="I563" s="100">
        <v>-39</v>
      </c>
      <c r="K563" s="105">
        <v>44970</v>
      </c>
      <c r="L563" s="100">
        <v>22.845</v>
      </c>
      <c r="M563" s="106">
        <v>17.291</v>
      </c>
      <c r="N563" s="100">
        <v>32</v>
      </c>
      <c r="O563" s="100">
        <v>45</v>
      </c>
      <c r="P563" s="100">
        <v>66</v>
      </c>
      <c r="Q563" s="100">
        <v>25</v>
      </c>
      <c r="S563" s="105">
        <v>44970</v>
      </c>
      <c r="T563" s="106">
        <f t="shared" si="8"/>
        <v>-3.423</v>
      </c>
    </row>
    <row r="564" spans="3:20">
      <c r="C564" s="105">
        <v>44967</v>
      </c>
      <c r="D564" s="106">
        <v>13.725</v>
      </c>
      <c r="E564" s="100">
        <v>16.286</v>
      </c>
      <c r="F564" s="100">
        <v>-16</v>
      </c>
      <c r="G564" s="100">
        <v>-19</v>
      </c>
      <c r="H564" s="100">
        <v>1</v>
      </c>
      <c r="I564" s="100">
        <v>-39</v>
      </c>
      <c r="K564" s="105">
        <v>44967</v>
      </c>
      <c r="L564" s="100">
        <v>22.844</v>
      </c>
      <c r="M564" s="106">
        <v>17.223</v>
      </c>
      <c r="N564" s="100">
        <v>33</v>
      </c>
      <c r="O564" s="100">
        <v>45</v>
      </c>
      <c r="P564" s="100">
        <v>66</v>
      </c>
      <c r="Q564" s="100">
        <v>25</v>
      </c>
      <c r="S564" s="105">
        <v>44967</v>
      </c>
      <c r="T564" s="106">
        <f t="shared" si="8"/>
        <v>-3.498</v>
      </c>
    </row>
    <row r="565" spans="3:20">
      <c r="C565" s="105">
        <v>44966</v>
      </c>
      <c r="D565" s="106">
        <v>13.943</v>
      </c>
      <c r="E565" s="100">
        <v>16.779</v>
      </c>
      <c r="F565" s="100">
        <v>-17</v>
      </c>
      <c r="G565" s="100">
        <v>-19</v>
      </c>
      <c r="H565" s="100">
        <v>1</v>
      </c>
      <c r="I565" s="100">
        <v>-39</v>
      </c>
      <c r="K565" s="105">
        <v>44966</v>
      </c>
      <c r="L565" s="100">
        <v>22.941</v>
      </c>
      <c r="M565" s="106">
        <v>17.659</v>
      </c>
      <c r="N565" s="100">
        <v>30</v>
      </c>
      <c r="O565" s="100">
        <v>45</v>
      </c>
      <c r="P565" s="100">
        <v>66</v>
      </c>
      <c r="Q565" s="100">
        <v>25</v>
      </c>
      <c r="S565" s="105">
        <v>44966</v>
      </c>
      <c r="T565" s="106">
        <f t="shared" si="8"/>
        <v>-3.716</v>
      </c>
    </row>
    <row r="566" spans="3:20">
      <c r="C566" s="105">
        <v>44965</v>
      </c>
      <c r="D566" s="106">
        <v>13.899</v>
      </c>
      <c r="E566" s="100">
        <v>16.821</v>
      </c>
      <c r="F566" s="100">
        <v>-17</v>
      </c>
      <c r="G566" s="100">
        <v>-19</v>
      </c>
      <c r="H566" s="100">
        <v>1</v>
      </c>
      <c r="I566" s="100">
        <v>-39</v>
      </c>
      <c r="K566" s="105">
        <v>44965</v>
      </c>
      <c r="L566" s="100">
        <v>22.871</v>
      </c>
      <c r="M566" s="106">
        <v>17.685</v>
      </c>
      <c r="N566" s="100">
        <v>29</v>
      </c>
      <c r="O566" s="100">
        <v>45</v>
      </c>
      <c r="P566" s="100">
        <v>66</v>
      </c>
      <c r="Q566" s="100">
        <v>25</v>
      </c>
      <c r="S566" s="105">
        <v>44965</v>
      </c>
      <c r="T566" s="106">
        <f t="shared" si="8"/>
        <v>-3.786</v>
      </c>
    </row>
    <row r="567" spans="3:20">
      <c r="C567" s="105">
        <v>44964</v>
      </c>
      <c r="D567" s="106">
        <v>13.777</v>
      </c>
      <c r="E567" s="100">
        <v>16.668</v>
      </c>
      <c r="F567" s="100">
        <v>-17</v>
      </c>
      <c r="G567" s="100">
        <v>-19</v>
      </c>
      <c r="H567" s="100">
        <v>1</v>
      </c>
      <c r="I567" s="100">
        <v>-39</v>
      </c>
      <c r="K567" s="105">
        <v>44964</v>
      </c>
      <c r="L567" s="100">
        <v>22.793</v>
      </c>
      <c r="M567" s="106">
        <v>17.543</v>
      </c>
      <c r="N567" s="100">
        <v>30</v>
      </c>
      <c r="O567" s="100">
        <v>45</v>
      </c>
      <c r="P567" s="100">
        <v>66</v>
      </c>
      <c r="Q567" s="100">
        <v>25</v>
      </c>
      <c r="S567" s="105">
        <v>44964</v>
      </c>
      <c r="T567" s="106">
        <f t="shared" si="8"/>
        <v>-3.766</v>
      </c>
    </row>
    <row r="568" spans="3:20">
      <c r="C568" s="105">
        <v>44963</v>
      </c>
      <c r="D568" s="106">
        <v>13.99</v>
      </c>
      <c r="E568" s="100">
        <v>16.776</v>
      </c>
      <c r="F568" s="100">
        <v>-17</v>
      </c>
      <c r="G568" s="100">
        <v>-19</v>
      </c>
      <c r="H568" s="100">
        <v>1</v>
      </c>
      <c r="I568" s="100">
        <v>-39</v>
      </c>
      <c r="K568" s="105">
        <v>44963</v>
      </c>
      <c r="L568" s="100">
        <v>22.998</v>
      </c>
      <c r="M568" s="106">
        <v>17.664</v>
      </c>
      <c r="N568" s="100">
        <v>30</v>
      </c>
      <c r="O568" s="100">
        <v>45</v>
      </c>
      <c r="P568" s="100">
        <v>66</v>
      </c>
      <c r="Q568" s="100">
        <v>25</v>
      </c>
      <c r="S568" s="105">
        <v>44963</v>
      </c>
      <c r="T568" s="106">
        <f t="shared" si="8"/>
        <v>-3.674</v>
      </c>
    </row>
    <row r="569" spans="3:20">
      <c r="C569" s="105">
        <v>44960</v>
      </c>
      <c r="D569" s="106">
        <v>14.347</v>
      </c>
      <c r="E569" s="100">
        <v>17.149</v>
      </c>
      <c r="F569" s="100">
        <v>-16</v>
      </c>
      <c r="G569" s="100">
        <v>-19</v>
      </c>
      <c r="H569" s="100">
        <v>1</v>
      </c>
      <c r="I569" s="100">
        <v>-39</v>
      </c>
      <c r="K569" s="105">
        <v>44960</v>
      </c>
      <c r="L569" s="100">
        <v>23.069</v>
      </c>
      <c r="M569" s="106">
        <v>17.995</v>
      </c>
      <c r="N569" s="100">
        <v>28</v>
      </c>
      <c r="O569" s="100">
        <v>45</v>
      </c>
      <c r="P569" s="100">
        <v>66</v>
      </c>
      <c r="Q569" s="100">
        <v>25</v>
      </c>
      <c r="S569" s="105">
        <v>44960</v>
      </c>
      <c r="T569" s="106">
        <f t="shared" si="8"/>
        <v>-3.648</v>
      </c>
    </row>
    <row r="570" spans="3:20">
      <c r="C570" s="105">
        <v>44959</v>
      </c>
      <c r="D570" s="106">
        <v>13.952</v>
      </c>
      <c r="E570" s="100">
        <v>17.035</v>
      </c>
      <c r="F570" s="100">
        <v>-18</v>
      </c>
      <c r="G570" s="100">
        <v>-19</v>
      </c>
      <c r="H570" s="100">
        <v>1</v>
      </c>
      <c r="I570" s="100">
        <v>-39</v>
      </c>
      <c r="K570" s="105">
        <v>44959</v>
      </c>
      <c r="L570" s="100">
        <v>22.666</v>
      </c>
      <c r="M570" s="106">
        <v>17.839</v>
      </c>
      <c r="N570" s="100">
        <v>27</v>
      </c>
      <c r="O570" s="100">
        <v>45</v>
      </c>
      <c r="P570" s="100">
        <v>66</v>
      </c>
      <c r="Q570" s="100">
        <v>25</v>
      </c>
      <c r="S570" s="105">
        <v>44959</v>
      </c>
      <c r="T570" s="106">
        <f t="shared" si="8"/>
        <v>-3.887</v>
      </c>
    </row>
    <row r="571" spans="3:20">
      <c r="C571" s="105">
        <v>44958</v>
      </c>
      <c r="D571" s="106">
        <v>12.557</v>
      </c>
      <c r="E571" s="100">
        <v>16.453</v>
      </c>
      <c r="F571" s="100">
        <v>-24</v>
      </c>
      <c r="G571" s="100">
        <v>-19</v>
      </c>
      <c r="H571" s="100">
        <v>1</v>
      </c>
      <c r="I571" s="100">
        <v>-39</v>
      </c>
      <c r="K571" s="105">
        <v>44958</v>
      </c>
      <c r="L571" s="100">
        <v>22.369</v>
      </c>
      <c r="M571" s="106">
        <v>17.299</v>
      </c>
      <c r="N571" s="100">
        <v>29</v>
      </c>
      <c r="O571" s="100">
        <v>45</v>
      </c>
      <c r="P571" s="100">
        <v>66</v>
      </c>
      <c r="Q571" s="100">
        <v>25</v>
      </c>
      <c r="S571" s="105">
        <v>44958</v>
      </c>
      <c r="T571" s="106">
        <f t="shared" si="8"/>
        <v>-4.742</v>
      </c>
    </row>
    <row r="572" spans="3:20">
      <c r="C572" s="105">
        <v>44957</v>
      </c>
      <c r="D572" s="106">
        <v>12.519</v>
      </c>
      <c r="E572" s="100">
        <v>16.307</v>
      </c>
      <c r="F572" s="100">
        <v>-23</v>
      </c>
      <c r="G572" s="100">
        <v>-19</v>
      </c>
      <c r="H572" s="100">
        <v>1</v>
      </c>
      <c r="I572" s="100">
        <v>-39</v>
      </c>
      <c r="K572" s="105">
        <v>44957</v>
      </c>
      <c r="L572" s="100">
        <v>22.096</v>
      </c>
      <c r="M572" s="106">
        <v>17.134</v>
      </c>
      <c r="N572" s="100">
        <v>29</v>
      </c>
      <c r="O572" s="100">
        <v>45</v>
      </c>
      <c r="P572" s="100">
        <v>66</v>
      </c>
      <c r="Q572" s="100">
        <v>25</v>
      </c>
      <c r="S572" s="105">
        <v>44957</v>
      </c>
      <c r="T572" s="106">
        <f t="shared" si="8"/>
        <v>-4.615</v>
      </c>
    </row>
    <row r="573" spans="3:20">
      <c r="C573" s="105">
        <v>44956</v>
      </c>
      <c r="D573" s="106">
        <v>12.492</v>
      </c>
      <c r="E573" s="100">
        <v>16.288</v>
      </c>
      <c r="F573" s="100">
        <v>-23</v>
      </c>
      <c r="G573" s="100">
        <v>-19</v>
      </c>
      <c r="H573" s="100">
        <v>1</v>
      </c>
      <c r="I573" s="100">
        <v>-39</v>
      </c>
      <c r="K573" s="105">
        <v>44956</v>
      </c>
      <c r="L573" s="100">
        <v>21.842</v>
      </c>
      <c r="M573" s="106">
        <v>17.082</v>
      </c>
      <c r="N573" s="100">
        <v>28</v>
      </c>
      <c r="O573" s="100">
        <v>45</v>
      </c>
      <c r="P573" s="100">
        <v>66</v>
      </c>
      <c r="Q573" s="100">
        <v>25</v>
      </c>
      <c r="S573" s="105">
        <v>44956</v>
      </c>
      <c r="T573" s="106">
        <f t="shared" si="8"/>
        <v>-4.59</v>
      </c>
    </row>
    <row r="574" spans="3:20">
      <c r="C574" s="105">
        <v>44953</v>
      </c>
      <c r="D574" s="106">
        <v>12.431</v>
      </c>
      <c r="E574" s="100">
        <v>16.03</v>
      </c>
      <c r="F574" s="100">
        <v>-22</v>
      </c>
      <c r="G574" s="100">
        <v>-19</v>
      </c>
      <c r="H574" s="100">
        <v>1</v>
      </c>
      <c r="I574" s="100">
        <v>-39</v>
      </c>
      <c r="K574" s="105">
        <v>44953</v>
      </c>
      <c r="L574" s="100">
        <v>21.858</v>
      </c>
      <c r="M574" s="106">
        <v>16.863</v>
      </c>
      <c r="N574" s="100">
        <v>30</v>
      </c>
      <c r="O574" s="100">
        <v>45</v>
      </c>
      <c r="P574" s="100">
        <v>66</v>
      </c>
      <c r="Q574" s="100">
        <v>25</v>
      </c>
      <c r="S574" s="105">
        <v>44953</v>
      </c>
      <c r="T574" s="106">
        <f t="shared" si="8"/>
        <v>-4.432</v>
      </c>
    </row>
    <row r="575" spans="3:20">
      <c r="C575" s="105">
        <v>44952</v>
      </c>
      <c r="D575" s="106">
        <v>12.646</v>
      </c>
      <c r="E575" s="100">
        <v>16.158</v>
      </c>
      <c r="F575" s="100">
        <v>-22</v>
      </c>
      <c r="G575" s="100">
        <v>-19</v>
      </c>
      <c r="H575" s="100">
        <v>1</v>
      </c>
      <c r="I575" s="100">
        <v>-39</v>
      </c>
      <c r="K575" s="105">
        <v>44952</v>
      </c>
      <c r="L575" s="100">
        <v>21.548</v>
      </c>
      <c r="M575" s="106">
        <v>16.928</v>
      </c>
      <c r="N575" s="100">
        <v>27</v>
      </c>
      <c r="O575" s="100">
        <v>45</v>
      </c>
      <c r="P575" s="100">
        <v>66</v>
      </c>
      <c r="Q575" s="100">
        <v>25</v>
      </c>
      <c r="S575" s="105">
        <v>44952</v>
      </c>
      <c r="T575" s="106">
        <f t="shared" si="8"/>
        <v>-4.282</v>
      </c>
    </row>
    <row r="576" spans="3:20">
      <c r="C576" s="105">
        <v>44951</v>
      </c>
      <c r="D576" s="106">
        <v>12.358</v>
      </c>
      <c r="E576" s="100">
        <v>15.862</v>
      </c>
      <c r="F576" s="100">
        <v>-22</v>
      </c>
      <c r="G576" s="100">
        <v>-19</v>
      </c>
      <c r="H576" s="100">
        <v>1</v>
      </c>
      <c r="I576" s="100">
        <v>-39</v>
      </c>
      <c r="K576" s="105">
        <v>44951</v>
      </c>
      <c r="L576" s="100">
        <v>21.458</v>
      </c>
      <c r="M576" s="106">
        <v>16.661</v>
      </c>
      <c r="N576" s="100">
        <v>29</v>
      </c>
      <c r="O576" s="100">
        <v>45</v>
      </c>
      <c r="P576" s="100">
        <v>66</v>
      </c>
      <c r="Q576" s="100">
        <v>25</v>
      </c>
      <c r="S576" s="105">
        <v>44951</v>
      </c>
      <c r="T576" s="106">
        <f t="shared" si="8"/>
        <v>-4.303</v>
      </c>
    </row>
    <row r="577" spans="3:20">
      <c r="C577" s="105">
        <v>44950</v>
      </c>
      <c r="D577" s="106">
        <v>12.469</v>
      </c>
      <c r="E577" s="100">
        <v>15.894</v>
      </c>
      <c r="F577" s="100">
        <v>-22</v>
      </c>
      <c r="G577" s="100">
        <v>-19</v>
      </c>
      <c r="H577" s="100">
        <v>1</v>
      </c>
      <c r="I577" s="100">
        <v>-39</v>
      </c>
      <c r="K577" s="105">
        <v>44950</v>
      </c>
      <c r="L577" s="100">
        <v>21.379</v>
      </c>
      <c r="M577" s="106">
        <v>16.678</v>
      </c>
      <c r="N577" s="100">
        <v>28</v>
      </c>
      <c r="O577" s="100">
        <v>45</v>
      </c>
      <c r="P577" s="100">
        <v>66</v>
      </c>
      <c r="Q577" s="100">
        <v>25</v>
      </c>
      <c r="S577" s="105">
        <v>44950</v>
      </c>
      <c r="T577" s="106">
        <f t="shared" si="8"/>
        <v>-4.209</v>
      </c>
    </row>
    <row r="578" spans="3:20">
      <c r="C578" s="105">
        <v>44949</v>
      </c>
      <c r="D578" s="106">
        <v>12.31</v>
      </c>
      <c r="E578" s="100">
        <v>15.751</v>
      </c>
      <c r="F578" s="100">
        <v>-22</v>
      </c>
      <c r="G578" s="100">
        <v>-19</v>
      </c>
      <c r="H578" s="100">
        <v>1</v>
      </c>
      <c r="I578" s="100">
        <v>-39</v>
      </c>
      <c r="K578" s="105">
        <v>44949</v>
      </c>
      <c r="L578" s="100">
        <v>21.578</v>
      </c>
      <c r="M578" s="106">
        <v>16.583</v>
      </c>
      <c r="N578" s="100">
        <v>30</v>
      </c>
      <c r="O578" s="100">
        <v>45</v>
      </c>
      <c r="P578" s="100">
        <v>66</v>
      </c>
      <c r="Q578" s="100">
        <v>25</v>
      </c>
      <c r="S578" s="105">
        <v>44949</v>
      </c>
      <c r="T578" s="106">
        <f t="shared" si="8"/>
        <v>-4.273</v>
      </c>
    </row>
    <row r="579" spans="3:20">
      <c r="C579" s="105">
        <v>44946</v>
      </c>
      <c r="D579" s="106">
        <v>12.171</v>
      </c>
      <c r="E579" s="100">
        <v>15.65</v>
      </c>
      <c r="F579" s="100">
        <v>-22</v>
      </c>
      <c r="G579" s="100">
        <v>-19</v>
      </c>
      <c r="H579" s="100">
        <v>1</v>
      </c>
      <c r="I579" s="100">
        <v>-39</v>
      </c>
      <c r="K579" s="105">
        <v>44946</v>
      </c>
      <c r="L579" s="100">
        <v>21.873</v>
      </c>
      <c r="M579" s="106">
        <v>16.539</v>
      </c>
      <c r="N579" s="100">
        <v>32</v>
      </c>
      <c r="O579" s="100">
        <v>45</v>
      </c>
      <c r="P579" s="100">
        <v>66</v>
      </c>
      <c r="Q579" s="100">
        <v>25</v>
      </c>
      <c r="S579" s="105">
        <v>44946</v>
      </c>
      <c r="T579" s="106">
        <f t="shared" si="8"/>
        <v>-4.368</v>
      </c>
    </row>
    <row r="580" spans="3:20">
      <c r="C580" s="105">
        <v>44945</v>
      </c>
      <c r="D580" s="106">
        <v>11.841</v>
      </c>
      <c r="E580" s="100">
        <v>15.442</v>
      </c>
      <c r="F580" s="100">
        <v>-23</v>
      </c>
      <c r="G580" s="100">
        <v>-19</v>
      </c>
      <c r="H580" s="100">
        <v>1</v>
      </c>
      <c r="I580" s="100">
        <v>-39</v>
      </c>
      <c r="K580" s="105">
        <v>44945</v>
      </c>
      <c r="L580" s="100">
        <v>21.897</v>
      </c>
      <c r="M580" s="106">
        <v>16.364</v>
      </c>
      <c r="N580" s="100">
        <v>34</v>
      </c>
      <c r="O580" s="100">
        <v>45</v>
      </c>
      <c r="P580" s="100">
        <v>66</v>
      </c>
      <c r="Q580" s="100">
        <v>25</v>
      </c>
      <c r="S580" s="105">
        <v>44945</v>
      </c>
      <c r="T580" s="106">
        <f t="shared" si="8"/>
        <v>-4.523</v>
      </c>
    </row>
    <row r="581" spans="3:20">
      <c r="C581" s="105">
        <v>44944</v>
      </c>
      <c r="D581" s="106">
        <v>12.188</v>
      </c>
      <c r="E581" s="100">
        <v>15.813</v>
      </c>
      <c r="F581" s="100">
        <v>-23</v>
      </c>
      <c r="G581" s="100">
        <v>-19</v>
      </c>
      <c r="H581" s="100">
        <v>1</v>
      </c>
      <c r="I581" s="100">
        <v>-39</v>
      </c>
      <c r="K581" s="105">
        <v>44944</v>
      </c>
      <c r="L581" s="100">
        <v>22.119</v>
      </c>
      <c r="M581" s="106">
        <v>16.714</v>
      </c>
      <c r="N581" s="100">
        <v>32</v>
      </c>
      <c r="O581" s="100">
        <v>45</v>
      </c>
      <c r="P581" s="100">
        <v>66</v>
      </c>
      <c r="Q581" s="100">
        <v>25</v>
      </c>
      <c r="S581" s="105">
        <v>44944</v>
      </c>
      <c r="T581" s="106">
        <f t="shared" si="8"/>
        <v>-4.526</v>
      </c>
    </row>
    <row r="582" spans="3:20">
      <c r="C582" s="105">
        <v>44943</v>
      </c>
      <c r="D582" s="106">
        <v>12.383</v>
      </c>
      <c r="E582" s="100">
        <v>15.86</v>
      </c>
      <c r="F582" s="100">
        <v>-22</v>
      </c>
      <c r="G582" s="100">
        <v>-19</v>
      </c>
      <c r="H582" s="100">
        <v>1</v>
      </c>
      <c r="I582" s="100">
        <v>-39</v>
      </c>
      <c r="K582" s="105">
        <v>44943</v>
      </c>
      <c r="L582" s="100">
        <v>21.808</v>
      </c>
      <c r="M582" s="106">
        <v>16.71</v>
      </c>
      <c r="N582" s="100">
        <v>31</v>
      </c>
      <c r="O582" s="100">
        <v>45</v>
      </c>
      <c r="P582" s="100">
        <v>66</v>
      </c>
      <c r="Q582" s="100">
        <v>25</v>
      </c>
      <c r="S582" s="105">
        <v>44943</v>
      </c>
      <c r="T582" s="106">
        <f t="shared" si="8"/>
        <v>-4.327</v>
      </c>
    </row>
    <row r="583" spans="3:20">
      <c r="C583" s="105">
        <v>44942</v>
      </c>
      <c r="D583" s="106">
        <v>12.637</v>
      </c>
      <c r="E583" s="100">
        <v>16.102</v>
      </c>
      <c r="F583" s="100">
        <v>-22</v>
      </c>
      <c r="G583" s="100">
        <v>-19</v>
      </c>
      <c r="H583" s="100">
        <v>1</v>
      </c>
      <c r="I583" s="100">
        <v>-39</v>
      </c>
      <c r="K583" s="105">
        <v>44942</v>
      </c>
      <c r="L583" s="100">
        <v>21.89</v>
      </c>
      <c r="M583" s="106">
        <v>16.929</v>
      </c>
      <c r="N583" s="100">
        <v>29</v>
      </c>
      <c r="O583" s="100">
        <v>45</v>
      </c>
      <c r="P583" s="100">
        <v>66</v>
      </c>
      <c r="Q583" s="100">
        <v>25</v>
      </c>
      <c r="S583" s="105">
        <v>44942</v>
      </c>
      <c r="T583" s="106">
        <f t="shared" si="8"/>
        <v>-4.292</v>
      </c>
    </row>
    <row r="584" spans="3:20">
      <c r="C584" s="105">
        <v>44939</v>
      </c>
      <c r="D584" s="106">
        <v>12.508</v>
      </c>
      <c r="E584" s="100">
        <v>16.025</v>
      </c>
      <c r="F584" s="100">
        <v>-22</v>
      </c>
      <c r="G584" s="100">
        <v>-19</v>
      </c>
      <c r="H584" s="100">
        <v>1</v>
      </c>
      <c r="I584" s="100">
        <v>-39</v>
      </c>
      <c r="K584" s="105">
        <v>44939</v>
      </c>
      <c r="L584" s="100">
        <v>21.795</v>
      </c>
      <c r="M584" s="106">
        <v>16.849</v>
      </c>
      <c r="N584" s="100">
        <v>29</v>
      </c>
      <c r="O584" s="100">
        <v>45</v>
      </c>
      <c r="P584" s="100">
        <v>66</v>
      </c>
      <c r="Q584" s="100">
        <v>25</v>
      </c>
      <c r="S584" s="105">
        <v>44939</v>
      </c>
      <c r="T584" s="106">
        <f t="shared" si="8"/>
        <v>-4.341</v>
      </c>
    </row>
    <row r="585" spans="3:20">
      <c r="C585" s="105">
        <v>44938</v>
      </c>
      <c r="D585" s="106">
        <v>12.477</v>
      </c>
      <c r="E585" s="100">
        <v>16.126</v>
      </c>
      <c r="F585" s="100">
        <v>-23</v>
      </c>
      <c r="G585" s="100">
        <v>-19</v>
      </c>
      <c r="H585" s="100">
        <v>1</v>
      </c>
      <c r="I585" s="100">
        <v>-39</v>
      </c>
      <c r="K585" s="105">
        <v>44938</v>
      </c>
      <c r="L585" s="100">
        <v>21.584</v>
      </c>
      <c r="M585" s="106">
        <v>16.906</v>
      </c>
      <c r="N585" s="100">
        <v>28</v>
      </c>
      <c r="O585" s="100">
        <v>45</v>
      </c>
      <c r="P585" s="100">
        <v>66</v>
      </c>
      <c r="Q585" s="100">
        <v>25</v>
      </c>
      <c r="S585" s="105">
        <v>44938</v>
      </c>
      <c r="T585" s="106">
        <f t="shared" si="8"/>
        <v>-4.429</v>
      </c>
    </row>
    <row r="586" spans="3:20">
      <c r="C586" s="105">
        <v>44937</v>
      </c>
      <c r="D586" s="106">
        <v>12.05</v>
      </c>
      <c r="E586" s="100">
        <v>15.911</v>
      </c>
      <c r="F586" s="100">
        <v>-24</v>
      </c>
      <c r="G586" s="100">
        <v>-19</v>
      </c>
      <c r="H586" s="100">
        <v>1</v>
      </c>
      <c r="I586" s="100">
        <v>-39</v>
      </c>
      <c r="K586" s="105">
        <v>44937</v>
      </c>
      <c r="L586" s="100">
        <v>21.578</v>
      </c>
      <c r="M586" s="106">
        <v>16.721</v>
      </c>
      <c r="N586" s="100">
        <v>29</v>
      </c>
      <c r="O586" s="100">
        <v>45</v>
      </c>
      <c r="P586" s="100">
        <v>66</v>
      </c>
      <c r="Q586" s="100">
        <v>25</v>
      </c>
      <c r="S586" s="105">
        <v>44937</v>
      </c>
      <c r="T586" s="106">
        <f t="shared" si="8"/>
        <v>-4.671</v>
      </c>
    </row>
    <row r="587" spans="3:20">
      <c r="C587" s="105">
        <v>44936</v>
      </c>
      <c r="D587" s="106">
        <v>11.183</v>
      </c>
      <c r="E587" s="100">
        <v>15.45</v>
      </c>
      <c r="F587" s="100">
        <v>-28</v>
      </c>
      <c r="G587" s="100">
        <v>-19</v>
      </c>
      <c r="H587" s="100">
        <v>1</v>
      </c>
      <c r="I587" s="100">
        <v>-39</v>
      </c>
      <c r="K587" s="105">
        <v>44936</v>
      </c>
      <c r="L587" s="100">
        <v>21.337</v>
      </c>
      <c r="M587" s="106">
        <v>16.291</v>
      </c>
      <c r="N587" s="100">
        <v>31</v>
      </c>
      <c r="O587" s="100">
        <v>45</v>
      </c>
      <c r="P587" s="100">
        <v>66</v>
      </c>
      <c r="Q587" s="100">
        <v>25</v>
      </c>
      <c r="S587" s="105">
        <v>44936</v>
      </c>
      <c r="T587" s="106">
        <f t="shared" si="8"/>
        <v>-5.108</v>
      </c>
    </row>
    <row r="588" spans="3:20">
      <c r="C588" s="105">
        <v>44935</v>
      </c>
      <c r="D588" s="106">
        <v>11.159</v>
      </c>
      <c r="E588" s="100">
        <v>15.548</v>
      </c>
      <c r="F588" s="100">
        <v>-28</v>
      </c>
      <c r="G588" s="100">
        <v>-19</v>
      </c>
      <c r="H588" s="100">
        <v>1</v>
      </c>
      <c r="I588" s="100">
        <v>-39</v>
      </c>
      <c r="K588" s="105">
        <v>44935</v>
      </c>
      <c r="L588" s="100">
        <v>21.365</v>
      </c>
      <c r="M588" s="106">
        <v>16.379</v>
      </c>
      <c r="N588" s="100">
        <v>30</v>
      </c>
      <c r="O588" s="100">
        <v>45</v>
      </c>
      <c r="P588" s="100">
        <v>66</v>
      </c>
      <c r="Q588" s="100">
        <v>25</v>
      </c>
      <c r="S588" s="105">
        <v>44935</v>
      </c>
      <c r="T588" s="106">
        <f t="shared" si="8"/>
        <v>-5.22</v>
      </c>
    </row>
    <row r="589" spans="3:20">
      <c r="C589" s="105">
        <v>44932</v>
      </c>
      <c r="D589" s="106">
        <v>11.398</v>
      </c>
      <c r="E589" s="100">
        <v>15.654</v>
      </c>
      <c r="F589" s="100">
        <v>-27</v>
      </c>
      <c r="G589" s="100">
        <v>-19</v>
      </c>
      <c r="H589" s="100">
        <v>1</v>
      </c>
      <c r="I589" s="100">
        <v>-39</v>
      </c>
      <c r="K589" s="105">
        <v>44932</v>
      </c>
      <c r="L589" s="100">
        <v>21.011</v>
      </c>
      <c r="M589" s="106">
        <v>16.419</v>
      </c>
      <c r="N589" s="100">
        <v>28</v>
      </c>
      <c r="O589" s="100">
        <v>45</v>
      </c>
      <c r="P589" s="100">
        <v>66</v>
      </c>
      <c r="Q589" s="100">
        <v>25</v>
      </c>
      <c r="S589" s="105">
        <v>44932</v>
      </c>
      <c r="T589" s="106">
        <f t="shared" si="8"/>
        <v>-5.021</v>
      </c>
    </row>
    <row r="590" spans="3:20">
      <c r="C590" s="105">
        <v>44931</v>
      </c>
      <c r="D590" s="106">
        <v>11.146</v>
      </c>
      <c r="E590" s="100">
        <v>15.509</v>
      </c>
      <c r="F590" s="100">
        <v>-28</v>
      </c>
      <c r="G590" s="100">
        <v>-19</v>
      </c>
      <c r="H590" s="100">
        <v>1</v>
      </c>
      <c r="I590" s="100">
        <v>-39</v>
      </c>
      <c r="K590" s="105">
        <v>44931</v>
      </c>
      <c r="L590" s="100">
        <v>20.776</v>
      </c>
      <c r="M590" s="106">
        <v>16.262</v>
      </c>
      <c r="N590" s="100">
        <v>28</v>
      </c>
      <c r="O590" s="100">
        <v>45</v>
      </c>
      <c r="P590" s="100">
        <v>66</v>
      </c>
      <c r="Q590" s="100">
        <v>25</v>
      </c>
      <c r="S590" s="105">
        <v>44931</v>
      </c>
      <c r="T590" s="106">
        <f t="shared" si="8"/>
        <v>-5.116</v>
      </c>
    </row>
    <row r="591" spans="3:20">
      <c r="C591" s="105">
        <v>44930</v>
      </c>
      <c r="D591" s="106">
        <v>10.814</v>
      </c>
      <c r="E591" s="100">
        <v>15.003</v>
      </c>
      <c r="F591" s="100">
        <v>-28</v>
      </c>
      <c r="G591" s="100">
        <v>-19</v>
      </c>
      <c r="H591" s="100">
        <v>1</v>
      </c>
      <c r="I591" s="100">
        <v>-39</v>
      </c>
      <c r="K591" s="105">
        <v>44930</v>
      </c>
      <c r="L591" s="100">
        <v>20.927</v>
      </c>
      <c r="M591" s="106">
        <v>15.849</v>
      </c>
      <c r="N591" s="100">
        <v>32</v>
      </c>
      <c r="O591" s="100">
        <v>45</v>
      </c>
      <c r="P591" s="100">
        <v>66</v>
      </c>
      <c r="Q591" s="100">
        <v>25</v>
      </c>
      <c r="S591" s="105">
        <v>44930</v>
      </c>
      <c r="T591" s="106">
        <f t="shared" si="8"/>
        <v>-5.035</v>
      </c>
    </row>
    <row r="592" spans="3:20">
      <c r="C592" s="105">
        <v>44929</v>
      </c>
      <c r="D592" s="106">
        <v>10.37</v>
      </c>
      <c r="E592" s="100">
        <v>14.564</v>
      </c>
      <c r="F592" s="100">
        <v>-29</v>
      </c>
      <c r="G592" s="100">
        <v>-19</v>
      </c>
      <c r="H592" s="100">
        <v>1</v>
      </c>
      <c r="I592" s="100">
        <v>-39</v>
      </c>
      <c r="K592" s="105">
        <v>44929</v>
      </c>
      <c r="L592" s="100">
        <v>20.299</v>
      </c>
      <c r="M592" s="106">
        <v>15.384</v>
      </c>
      <c r="N592" s="100">
        <v>32</v>
      </c>
      <c r="O592" s="100">
        <v>45</v>
      </c>
      <c r="P592" s="100">
        <v>66</v>
      </c>
      <c r="Q592" s="100">
        <v>25</v>
      </c>
      <c r="S592" s="105">
        <v>44929</v>
      </c>
      <c r="T592" s="106">
        <f t="shared" si="8"/>
        <v>-5.014</v>
      </c>
    </row>
    <row r="593" spans="3:20">
      <c r="C593" s="105">
        <v>44925</v>
      </c>
      <c r="D593" s="106">
        <v>10.012</v>
      </c>
      <c r="E593" s="100">
        <v>14.183</v>
      </c>
      <c r="F593" s="100">
        <v>-29</v>
      </c>
      <c r="G593" s="100">
        <v>-19</v>
      </c>
      <c r="H593" s="100">
        <v>1</v>
      </c>
      <c r="I593" s="100">
        <v>-39</v>
      </c>
      <c r="K593" s="105">
        <v>44925</v>
      </c>
      <c r="L593" s="100">
        <v>20.302</v>
      </c>
      <c r="M593" s="106">
        <v>15.057</v>
      </c>
      <c r="N593" s="100">
        <v>35</v>
      </c>
      <c r="O593" s="100">
        <v>45</v>
      </c>
      <c r="P593" s="100">
        <v>66</v>
      </c>
      <c r="Q593" s="100">
        <v>25</v>
      </c>
      <c r="S593" s="105">
        <v>44925</v>
      </c>
      <c r="T593" s="106">
        <f t="shared" si="8"/>
        <v>-5.045</v>
      </c>
    </row>
    <row r="594" spans="3:20">
      <c r="C594" s="105">
        <v>44924</v>
      </c>
      <c r="D594" s="106">
        <v>9.774</v>
      </c>
      <c r="E594" s="100">
        <v>14.252</v>
      </c>
      <c r="F594" s="100">
        <v>-31</v>
      </c>
      <c r="G594" s="100">
        <v>-19</v>
      </c>
      <c r="H594" s="100">
        <v>1</v>
      </c>
      <c r="I594" s="100">
        <v>-39</v>
      </c>
      <c r="K594" s="105">
        <v>44924</v>
      </c>
      <c r="L594" s="100">
        <v>20.526</v>
      </c>
      <c r="M594" s="106">
        <v>15.148</v>
      </c>
      <c r="N594" s="100">
        <v>35</v>
      </c>
      <c r="O594" s="100">
        <v>45</v>
      </c>
      <c r="P594" s="100">
        <v>66</v>
      </c>
      <c r="Q594" s="100">
        <v>25</v>
      </c>
      <c r="S594" s="105">
        <v>44924</v>
      </c>
      <c r="T594" s="106">
        <f t="shared" si="8"/>
        <v>-5.374</v>
      </c>
    </row>
    <row r="595" spans="3:20">
      <c r="C595" s="105">
        <v>44923</v>
      </c>
      <c r="D595" s="106">
        <v>9.694</v>
      </c>
      <c r="E595" s="100">
        <v>14.132</v>
      </c>
      <c r="F595" s="100">
        <v>-31</v>
      </c>
      <c r="G595" s="100">
        <v>-19</v>
      </c>
      <c r="H595" s="100">
        <v>1</v>
      </c>
      <c r="I595" s="100">
        <v>-39</v>
      </c>
      <c r="K595" s="105">
        <v>44923</v>
      </c>
      <c r="L595" s="100">
        <v>20.294</v>
      </c>
      <c r="M595" s="106">
        <v>15.012</v>
      </c>
      <c r="N595" s="100">
        <v>35</v>
      </c>
      <c r="O595" s="100">
        <v>45</v>
      </c>
      <c r="P595" s="100">
        <v>66</v>
      </c>
      <c r="Q595" s="100">
        <v>25</v>
      </c>
      <c r="S595" s="105">
        <v>44923</v>
      </c>
      <c r="T595" s="106">
        <f t="shared" si="8"/>
        <v>-5.318</v>
      </c>
    </row>
    <row r="596" spans="3:20">
      <c r="C596" s="105">
        <v>44918</v>
      </c>
      <c r="D596" s="106">
        <v>9.488</v>
      </c>
      <c r="E596" s="100">
        <v>14.084</v>
      </c>
      <c r="F596" s="100">
        <v>-33</v>
      </c>
      <c r="G596" s="100">
        <v>-19</v>
      </c>
      <c r="H596" s="100">
        <v>1</v>
      </c>
      <c r="I596" s="100">
        <v>-39</v>
      </c>
      <c r="K596" s="105">
        <v>44918</v>
      </c>
      <c r="L596" s="100">
        <v>20.323</v>
      </c>
      <c r="M596" s="106">
        <v>14.976</v>
      </c>
      <c r="N596" s="100">
        <v>36</v>
      </c>
      <c r="O596" s="100">
        <v>45</v>
      </c>
      <c r="P596" s="100">
        <v>66</v>
      </c>
      <c r="Q596" s="100">
        <v>25</v>
      </c>
      <c r="S596" s="105">
        <v>44918</v>
      </c>
      <c r="T596" s="106">
        <f t="shared" si="8"/>
        <v>-5.488</v>
      </c>
    </row>
    <row r="597" spans="3:20">
      <c r="C597" s="105">
        <v>44917</v>
      </c>
      <c r="D597" s="106">
        <v>9.464</v>
      </c>
      <c r="E597" s="100">
        <v>14.11</v>
      </c>
      <c r="F597" s="100">
        <v>-33</v>
      </c>
      <c r="G597" s="100">
        <v>-19</v>
      </c>
      <c r="H597" s="100">
        <v>1</v>
      </c>
      <c r="I597" s="100">
        <v>-39</v>
      </c>
      <c r="K597" s="105">
        <v>44917</v>
      </c>
      <c r="L597" s="100">
        <v>20.496</v>
      </c>
      <c r="M597" s="106">
        <v>15.022</v>
      </c>
      <c r="N597" s="100">
        <v>36</v>
      </c>
      <c r="O597" s="100">
        <v>45</v>
      </c>
      <c r="P597" s="100">
        <v>66</v>
      </c>
      <c r="Q597" s="100">
        <v>25</v>
      </c>
      <c r="S597" s="105">
        <v>44917</v>
      </c>
      <c r="T597" s="106">
        <f t="shared" si="8"/>
        <v>-5.558</v>
      </c>
    </row>
    <row r="598" spans="3:20">
      <c r="C598" s="105">
        <v>44916</v>
      </c>
      <c r="D598" s="106">
        <v>9.536</v>
      </c>
      <c r="E598" s="100">
        <v>14.194</v>
      </c>
      <c r="F598" s="100">
        <v>-33</v>
      </c>
      <c r="G598" s="100">
        <v>-19</v>
      </c>
      <c r="H598" s="100">
        <v>1</v>
      </c>
      <c r="I598" s="100">
        <v>-39</v>
      </c>
      <c r="K598" s="105">
        <v>44916</v>
      </c>
      <c r="L598" s="100">
        <v>20.407</v>
      </c>
      <c r="M598" s="106">
        <v>15.081</v>
      </c>
      <c r="N598" s="100">
        <v>35</v>
      </c>
      <c r="O598" s="100">
        <v>45</v>
      </c>
      <c r="P598" s="100">
        <v>66</v>
      </c>
      <c r="Q598" s="100">
        <v>25</v>
      </c>
      <c r="S598" s="105">
        <v>44916</v>
      </c>
      <c r="T598" s="106">
        <f t="shared" ref="T598:T661" si="9">D598-M598</f>
        <v>-5.545</v>
      </c>
    </row>
    <row r="599" spans="3:20">
      <c r="C599" s="105">
        <v>44915</v>
      </c>
      <c r="D599" s="106">
        <v>8.988</v>
      </c>
      <c r="E599" s="100">
        <v>13.774</v>
      </c>
      <c r="F599" s="100">
        <v>-35</v>
      </c>
      <c r="G599" s="100">
        <v>-19</v>
      </c>
      <c r="H599" s="100">
        <v>1</v>
      </c>
      <c r="I599" s="100">
        <v>-39</v>
      </c>
      <c r="K599" s="105">
        <v>44915</v>
      </c>
      <c r="L599" s="100">
        <v>20.272</v>
      </c>
      <c r="M599" s="106">
        <v>14.702</v>
      </c>
      <c r="N599" s="100">
        <v>38</v>
      </c>
      <c r="O599" s="100">
        <v>45</v>
      </c>
      <c r="P599" s="100">
        <v>66</v>
      </c>
      <c r="Q599" s="100">
        <v>25</v>
      </c>
      <c r="S599" s="105">
        <v>44915</v>
      </c>
      <c r="T599" s="106">
        <f t="shared" si="9"/>
        <v>-5.714</v>
      </c>
    </row>
    <row r="600" spans="3:20">
      <c r="C600" s="105">
        <v>44914</v>
      </c>
      <c r="D600" s="106">
        <v>9.179</v>
      </c>
      <c r="E600" s="100">
        <v>13.866</v>
      </c>
      <c r="F600" s="100">
        <v>-34</v>
      </c>
      <c r="G600" s="100">
        <v>-19</v>
      </c>
      <c r="H600" s="100">
        <v>1</v>
      </c>
      <c r="I600" s="100">
        <v>-39</v>
      </c>
      <c r="K600" s="105">
        <v>44914</v>
      </c>
      <c r="L600" s="100">
        <v>20.365</v>
      </c>
      <c r="M600" s="106">
        <v>14.795</v>
      </c>
      <c r="N600" s="100">
        <v>38</v>
      </c>
      <c r="O600" s="100">
        <v>45</v>
      </c>
      <c r="P600" s="100">
        <v>66</v>
      </c>
      <c r="Q600" s="100">
        <v>25</v>
      </c>
      <c r="S600" s="105">
        <v>44914</v>
      </c>
      <c r="T600" s="106">
        <f t="shared" si="9"/>
        <v>-5.616</v>
      </c>
    </row>
    <row r="601" spans="3:20">
      <c r="C601" s="105">
        <v>44911</v>
      </c>
      <c r="D601" s="106">
        <v>9.373</v>
      </c>
      <c r="E601" s="100">
        <v>13.909</v>
      </c>
      <c r="F601" s="100">
        <v>-33</v>
      </c>
      <c r="G601" s="100">
        <v>-19</v>
      </c>
      <c r="H601" s="100">
        <v>1</v>
      </c>
      <c r="I601" s="100">
        <v>-39</v>
      </c>
      <c r="K601" s="105">
        <v>44911</v>
      </c>
      <c r="L601" s="100">
        <v>21.039</v>
      </c>
      <c r="M601" s="106">
        <v>14.927</v>
      </c>
      <c r="N601" s="100">
        <v>41</v>
      </c>
      <c r="O601" s="100">
        <v>45</v>
      </c>
      <c r="P601" s="100">
        <v>66</v>
      </c>
      <c r="Q601" s="100">
        <v>25</v>
      </c>
      <c r="S601" s="105">
        <v>44911</v>
      </c>
      <c r="T601" s="106">
        <f t="shared" si="9"/>
        <v>-5.554</v>
      </c>
    </row>
    <row r="602" spans="3:20">
      <c r="C602" s="105">
        <v>44910</v>
      </c>
      <c r="D602" s="106">
        <v>9.506</v>
      </c>
      <c r="E602" s="100">
        <v>14.064</v>
      </c>
      <c r="F602" s="100">
        <v>-32</v>
      </c>
      <c r="G602" s="100">
        <v>-19</v>
      </c>
      <c r="H602" s="100">
        <v>1</v>
      </c>
      <c r="I602" s="100">
        <v>-39</v>
      </c>
      <c r="K602" s="105">
        <v>44910</v>
      </c>
      <c r="L602" s="100">
        <v>21.415</v>
      </c>
      <c r="M602" s="106">
        <v>15.114</v>
      </c>
      <c r="N602" s="100">
        <v>42</v>
      </c>
      <c r="O602" s="100">
        <v>45</v>
      </c>
      <c r="P602" s="100">
        <v>66</v>
      </c>
      <c r="Q602" s="100">
        <v>25</v>
      </c>
      <c r="S602" s="105">
        <v>44910</v>
      </c>
      <c r="T602" s="106">
        <f t="shared" si="9"/>
        <v>-5.608</v>
      </c>
    </row>
    <row r="603" spans="3:20">
      <c r="C603" s="105">
        <v>44909</v>
      </c>
      <c r="D603" s="106">
        <v>9.718</v>
      </c>
      <c r="E603" s="100">
        <v>14.536</v>
      </c>
      <c r="F603" s="100">
        <v>-33</v>
      </c>
      <c r="G603" s="100">
        <v>-19</v>
      </c>
      <c r="H603" s="100">
        <v>1</v>
      </c>
      <c r="I603" s="100">
        <v>-39</v>
      </c>
      <c r="K603" s="105">
        <v>44909</v>
      </c>
      <c r="L603" s="100">
        <v>21.842</v>
      </c>
      <c r="M603" s="106">
        <v>15.58</v>
      </c>
      <c r="N603" s="100">
        <v>40</v>
      </c>
      <c r="O603" s="100">
        <v>45</v>
      </c>
      <c r="P603" s="100">
        <v>66</v>
      </c>
      <c r="Q603" s="100">
        <v>25</v>
      </c>
      <c r="S603" s="105">
        <v>44909</v>
      </c>
      <c r="T603" s="106">
        <f t="shared" si="9"/>
        <v>-5.862</v>
      </c>
    </row>
    <row r="604" spans="3:20">
      <c r="C604" s="105">
        <v>44908</v>
      </c>
      <c r="D604" s="106">
        <v>9.797</v>
      </c>
      <c r="E604" s="100">
        <v>14.505</v>
      </c>
      <c r="F604" s="100">
        <v>-32</v>
      </c>
      <c r="G604" s="100">
        <v>-19</v>
      </c>
      <c r="H604" s="100">
        <v>1</v>
      </c>
      <c r="I604" s="100">
        <v>-39</v>
      </c>
      <c r="K604" s="105">
        <v>44908</v>
      </c>
      <c r="L604" s="100">
        <v>21.834</v>
      </c>
      <c r="M604" s="106">
        <v>15.552</v>
      </c>
      <c r="N604" s="100">
        <v>40</v>
      </c>
      <c r="O604" s="100">
        <v>45</v>
      </c>
      <c r="P604" s="100">
        <v>66</v>
      </c>
      <c r="Q604" s="100">
        <v>25</v>
      </c>
      <c r="S604" s="105">
        <v>44908</v>
      </c>
      <c r="T604" s="106">
        <f t="shared" si="9"/>
        <v>-5.755</v>
      </c>
    </row>
    <row r="605" spans="3:20">
      <c r="C605" s="105">
        <v>44907</v>
      </c>
      <c r="D605" s="106">
        <v>9.661</v>
      </c>
      <c r="E605" s="100">
        <v>14.244</v>
      </c>
      <c r="F605" s="100">
        <v>-32</v>
      </c>
      <c r="G605" s="100">
        <v>-19</v>
      </c>
      <c r="H605" s="100">
        <v>1</v>
      </c>
      <c r="I605" s="100">
        <v>-39</v>
      </c>
      <c r="K605" s="105">
        <v>44907</v>
      </c>
      <c r="L605" s="100">
        <v>21.895</v>
      </c>
      <c r="M605" s="106">
        <v>15.337</v>
      </c>
      <c r="N605" s="100">
        <v>43</v>
      </c>
      <c r="O605" s="100">
        <v>45</v>
      </c>
      <c r="P605" s="100">
        <v>66</v>
      </c>
      <c r="Q605" s="100">
        <v>25</v>
      </c>
      <c r="S605" s="105">
        <v>44907</v>
      </c>
      <c r="T605" s="106">
        <f t="shared" si="9"/>
        <v>-5.676</v>
      </c>
    </row>
    <row r="606" spans="3:20">
      <c r="C606" s="105">
        <v>44904</v>
      </c>
      <c r="D606" s="106">
        <v>9.821</v>
      </c>
      <c r="E606" s="100">
        <v>14.404</v>
      </c>
      <c r="F606" s="100">
        <v>-32</v>
      </c>
      <c r="G606" s="100">
        <v>-19</v>
      </c>
      <c r="H606" s="100">
        <v>1</v>
      </c>
      <c r="I606" s="100">
        <v>-39</v>
      </c>
      <c r="K606" s="105">
        <v>44904</v>
      </c>
      <c r="L606" s="100">
        <v>20.907</v>
      </c>
      <c r="M606" s="106">
        <v>15.333</v>
      </c>
      <c r="N606" s="100">
        <v>36</v>
      </c>
      <c r="O606" s="100">
        <v>45</v>
      </c>
      <c r="P606" s="100">
        <v>66</v>
      </c>
      <c r="Q606" s="100">
        <v>25</v>
      </c>
      <c r="S606" s="105">
        <v>44904</v>
      </c>
      <c r="T606" s="106">
        <f t="shared" si="9"/>
        <v>-5.512</v>
      </c>
    </row>
    <row r="607" spans="3:20">
      <c r="C607" s="105">
        <v>44903</v>
      </c>
      <c r="D607" s="106">
        <v>9.845</v>
      </c>
      <c r="E607" s="100">
        <v>14.414</v>
      </c>
      <c r="F607" s="100">
        <v>-32</v>
      </c>
      <c r="G607" s="100">
        <v>-19</v>
      </c>
      <c r="H607" s="100">
        <v>1</v>
      </c>
      <c r="I607" s="100">
        <v>-39</v>
      </c>
      <c r="K607" s="105">
        <v>44903</v>
      </c>
      <c r="L607" s="100">
        <v>20.749</v>
      </c>
      <c r="M607" s="106">
        <v>15.319</v>
      </c>
      <c r="N607" s="100">
        <v>35</v>
      </c>
      <c r="O607" s="100">
        <v>45</v>
      </c>
      <c r="P607" s="100">
        <v>66</v>
      </c>
      <c r="Q607" s="100">
        <v>25</v>
      </c>
      <c r="S607" s="105">
        <v>44903</v>
      </c>
      <c r="T607" s="106">
        <f t="shared" si="9"/>
        <v>-5.474</v>
      </c>
    </row>
    <row r="608" spans="3:20">
      <c r="C608" s="105">
        <v>44902</v>
      </c>
      <c r="D608" s="106">
        <v>10.08</v>
      </c>
      <c r="E608" s="100">
        <v>14.726</v>
      </c>
      <c r="F608" s="100">
        <v>-32</v>
      </c>
      <c r="G608" s="100">
        <v>-19</v>
      </c>
      <c r="H608" s="100">
        <v>1</v>
      </c>
      <c r="I608" s="100">
        <v>-39</v>
      </c>
      <c r="K608" s="105">
        <v>44902</v>
      </c>
      <c r="L608" s="100">
        <v>22.104</v>
      </c>
      <c r="M608" s="106">
        <v>15.78</v>
      </c>
      <c r="N608" s="100">
        <v>40</v>
      </c>
      <c r="O608" s="100">
        <v>45</v>
      </c>
      <c r="P608" s="100">
        <v>66</v>
      </c>
      <c r="Q608" s="100">
        <v>25</v>
      </c>
      <c r="S608" s="105">
        <v>44902</v>
      </c>
      <c r="T608" s="106">
        <f t="shared" si="9"/>
        <v>-5.7</v>
      </c>
    </row>
    <row r="609" spans="3:20">
      <c r="C609" s="105">
        <v>44901</v>
      </c>
      <c r="D609" s="106">
        <v>10.104</v>
      </c>
      <c r="E609" s="100">
        <v>14.652</v>
      </c>
      <c r="F609" s="100">
        <v>-31</v>
      </c>
      <c r="G609" s="100">
        <v>-19</v>
      </c>
      <c r="H609" s="100">
        <v>1</v>
      </c>
      <c r="I609" s="100">
        <v>-39</v>
      </c>
      <c r="K609" s="105">
        <v>44901</v>
      </c>
      <c r="L609" s="100">
        <v>21.922</v>
      </c>
      <c r="M609" s="106">
        <v>15.691</v>
      </c>
      <c r="N609" s="100">
        <v>40</v>
      </c>
      <c r="O609" s="100">
        <v>45</v>
      </c>
      <c r="P609" s="100">
        <v>66</v>
      </c>
      <c r="Q609" s="100">
        <v>25</v>
      </c>
      <c r="S609" s="105">
        <v>44901</v>
      </c>
      <c r="T609" s="106">
        <f t="shared" si="9"/>
        <v>-5.587</v>
      </c>
    </row>
    <row r="610" spans="3:20">
      <c r="C610" s="105">
        <v>44900</v>
      </c>
      <c r="D610" s="106">
        <v>10.279</v>
      </c>
      <c r="E610" s="100">
        <v>14.907</v>
      </c>
      <c r="F610" s="100">
        <v>-31</v>
      </c>
      <c r="G610" s="100">
        <v>-19</v>
      </c>
      <c r="H610" s="100">
        <v>1</v>
      </c>
      <c r="I610" s="100">
        <v>-39</v>
      </c>
      <c r="K610" s="105">
        <v>44900</v>
      </c>
      <c r="L610" s="100">
        <v>22.296</v>
      </c>
      <c r="M610" s="106">
        <v>15.963</v>
      </c>
      <c r="N610" s="100">
        <v>40</v>
      </c>
      <c r="O610" s="100">
        <v>45</v>
      </c>
      <c r="P610" s="100">
        <v>66</v>
      </c>
      <c r="Q610" s="100">
        <v>25</v>
      </c>
      <c r="S610" s="105">
        <v>44900</v>
      </c>
      <c r="T610" s="106">
        <f t="shared" si="9"/>
        <v>-5.684</v>
      </c>
    </row>
    <row r="611" spans="3:20">
      <c r="C611" s="105">
        <v>44897</v>
      </c>
      <c r="D611" s="106">
        <v>10.291</v>
      </c>
      <c r="E611" s="100">
        <v>14.956</v>
      </c>
      <c r="F611" s="100">
        <v>-31</v>
      </c>
      <c r="G611" s="100">
        <v>-19</v>
      </c>
      <c r="H611" s="100">
        <v>1</v>
      </c>
      <c r="I611" s="100">
        <v>-39</v>
      </c>
      <c r="K611" s="105">
        <v>44897</v>
      </c>
      <c r="L611" s="100">
        <v>23.124</v>
      </c>
      <c r="M611" s="106">
        <v>16.123</v>
      </c>
      <c r="N611" s="100">
        <v>43</v>
      </c>
      <c r="O611" s="100">
        <v>45</v>
      </c>
      <c r="P611" s="100">
        <v>66</v>
      </c>
      <c r="Q611" s="100">
        <v>25</v>
      </c>
      <c r="S611" s="105">
        <v>44897</v>
      </c>
      <c r="T611" s="106">
        <f t="shared" si="9"/>
        <v>-5.832</v>
      </c>
    </row>
    <row r="612" spans="3:20">
      <c r="C612" s="105">
        <v>44896</v>
      </c>
      <c r="D612" s="106">
        <v>10.227</v>
      </c>
      <c r="E612" s="100">
        <v>14.844</v>
      </c>
      <c r="F612" s="100">
        <v>-31</v>
      </c>
      <c r="G612" s="100">
        <v>-19</v>
      </c>
      <c r="H612" s="100">
        <v>1</v>
      </c>
      <c r="I612" s="100">
        <v>-39</v>
      </c>
      <c r="K612" s="105">
        <v>44896</v>
      </c>
      <c r="L612" s="100">
        <v>23.128</v>
      </c>
      <c r="M612" s="106">
        <v>16.027</v>
      </c>
      <c r="N612" s="100">
        <v>44</v>
      </c>
      <c r="O612" s="100">
        <v>45</v>
      </c>
      <c r="P612" s="100">
        <v>66</v>
      </c>
      <c r="Q612" s="100">
        <v>25</v>
      </c>
      <c r="S612" s="105">
        <v>44896</v>
      </c>
      <c r="T612" s="106">
        <f t="shared" si="9"/>
        <v>-5.8</v>
      </c>
    </row>
    <row r="613" spans="3:20">
      <c r="C613" s="105">
        <v>44895</v>
      </c>
      <c r="D613" s="106">
        <v>10.07</v>
      </c>
      <c r="E613" s="100">
        <v>14.709</v>
      </c>
      <c r="F613" s="100">
        <v>-32</v>
      </c>
      <c r="G613" s="100">
        <v>-19</v>
      </c>
      <c r="H613" s="100">
        <v>1</v>
      </c>
      <c r="I613" s="100">
        <v>-39</v>
      </c>
      <c r="K613" s="105">
        <v>44895</v>
      </c>
      <c r="L613" s="100">
        <v>23.078</v>
      </c>
      <c r="M613" s="106">
        <v>15.904</v>
      </c>
      <c r="N613" s="100">
        <v>45</v>
      </c>
      <c r="O613" s="100">
        <v>45</v>
      </c>
      <c r="P613" s="100">
        <v>66</v>
      </c>
      <c r="Q613" s="100">
        <v>25</v>
      </c>
      <c r="S613" s="105">
        <v>44895</v>
      </c>
      <c r="T613" s="106">
        <f t="shared" si="9"/>
        <v>-5.834</v>
      </c>
    </row>
    <row r="614" spans="3:20">
      <c r="C614" s="105">
        <v>44894</v>
      </c>
      <c r="D614" s="106">
        <v>9.942</v>
      </c>
      <c r="E614" s="100">
        <v>14.638</v>
      </c>
      <c r="F614" s="100">
        <v>-32</v>
      </c>
      <c r="G614" s="100">
        <v>-19</v>
      </c>
      <c r="H614" s="100">
        <v>1</v>
      </c>
      <c r="I614" s="100">
        <v>-39</v>
      </c>
      <c r="K614" s="105">
        <v>44894</v>
      </c>
      <c r="L614" s="100">
        <v>22.518</v>
      </c>
      <c r="M614" s="106">
        <v>15.764</v>
      </c>
      <c r="N614" s="100">
        <v>43</v>
      </c>
      <c r="O614" s="100">
        <v>45</v>
      </c>
      <c r="P614" s="100">
        <v>66</v>
      </c>
      <c r="Q614" s="100">
        <v>25</v>
      </c>
      <c r="S614" s="105">
        <v>44894</v>
      </c>
      <c r="T614" s="106">
        <f t="shared" si="9"/>
        <v>-5.822</v>
      </c>
    </row>
    <row r="615" spans="3:20">
      <c r="C615" s="105">
        <v>44893</v>
      </c>
      <c r="D615" s="106">
        <v>9.946</v>
      </c>
      <c r="E615" s="100">
        <v>14.549</v>
      </c>
      <c r="F615" s="100">
        <v>-32</v>
      </c>
      <c r="G615" s="100">
        <v>-19</v>
      </c>
      <c r="H615" s="100">
        <v>1</v>
      </c>
      <c r="I615" s="100">
        <v>-39</v>
      </c>
      <c r="K615" s="105">
        <v>44893</v>
      </c>
      <c r="L615" s="100">
        <v>22.824</v>
      </c>
      <c r="M615" s="106">
        <v>15.731</v>
      </c>
      <c r="N615" s="100">
        <v>45</v>
      </c>
      <c r="O615" s="100">
        <v>45</v>
      </c>
      <c r="P615" s="100">
        <v>66</v>
      </c>
      <c r="Q615" s="100">
        <v>25</v>
      </c>
      <c r="S615" s="105">
        <v>44893</v>
      </c>
      <c r="T615" s="106">
        <f t="shared" si="9"/>
        <v>-5.785</v>
      </c>
    </row>
    <row r="616" spans="3:20">
      <c r="C616" s="105">
        <v>44890</v>
      </c>
      <c r="D616" s="106">
        <v>9.885</v>
      </c>
      <c r="E616" s="100">
        <v>14.664</v>
      </c>
      <c r="F616" s="100">
        <v>-33</v>
      </c>
      <c r="G616" s="100">
        <v>-19</v>
      </c>
      <c r="H616" s="100">
        <v>1</v>
      </c>
      <c r="I616" s="100">
        <v>-39</v>
      </c>
      <c r="K616" s="105">
        <v>44890</v>
      </c>
      <c r="L616" s="100">
        <v>22.775</v>
      </c>
      <c r="M616" s="106">
        <v>15.823</v>
      </c>
      <c r="N616" s="100">
        <v>44</v>
      </c>
      <c r="O616" s="100">
        <v>45</v>
      </c>
      <c r="P616" s="100">
        <v>66</v>
      </c>
      <c r="Q616" s="100">
        <v>25</v>
      </c>
      <c r="S616" s="105">
        <v>44890</v>
      </c>
      <c r="T616" s="106">
        <f t="shared" si="9"/>
        <v>-5.938</v>
      </c>
    </row>
    <row r="617" spans="3:20">
      <c r="C617" s="105">
        <v>44889</v>
      </c>
      <c r="D617" s="106">
        <v>9.976</v>
      </c>
      <c r="E617" s="100">
        <v>14.612</v>
      </c>
      <c r="F617" s="100">
        <v>-32</v>
      </c>
      <c r="G617" s="100">
        <v>-19</v>
      </c>
      <c r="H617" s="100">
        <v>1</v>
      </c>
      <c r="I617" s="100">
        <v>-39</v>
      </c>
      <c r="K617" s="105">
        <v>44889</v>
      </c>
      <c r="L617" s="100">
        <v>22.683</v>
      </c>
      <c r="M617" s="106">
        <v>15.765</v>
      </c>
      <c r="N617" s="100">
        <v>44</v>
      </c>
      <c r="O617" s="100">
        <v>45</v>
      </c>
      <c r="P617" s="100">
        <v>66</v>
      </c>
      <c r="Q617" s="100">
        <v>25</v>
      </c>
      <c r="S617" s="105">
        <v>44889</v>
      </c>
      <c r="T617" s="106">
        <f t="shared" si="9"/>
        <v>-5.789</v>
      </c>
    </row>
    <row r="618" spans="3:20">
      <c r="C618" s="105">
        <v>44888</v>
      </c>
      <c r="D618" s="106">
        <v>10.02</v>
      </c>
      <c r="E618" s="100">
        <v>14.623</v>
      </c>
      <c r="F618" s="100">
        <v>-31</v>
      </c>
      <c r="G618" s="100">
        <v>-19</v>
      </c>
      <c r="H618" s="100">
        <v>1</v>
      </c>
      <c r="I618" s="100">
        <v>-39</v>
      </c>
      <c r="K618" s="105">
        <v>44888</v>
      </c>
      <c r="L618" s="100">
        <v>23.068</v>
      </c>
      <c r="M618" s="106">
        <v>15.83</v>
      </c>
      <c r="N618" s="100">
        <v>46</v>
      </c>
      <c r="O618" s="100">
        <v>45</v>
      </c>
      <c r="P618" s="100">
        <v>66</v>
      </c>
      <c r="Q618" s="100">
        <v>25</v>
      </c>
      <c r="S618" s="105">
        <v>44888</v>
      </c>
      <c r="T618" s="106">
        <f t="shared" si="9"/>
        <v>-5.81</v>
      </c>
    </row>
    <row r="619" spans="3:20">
      <c r="C619" s="105">
        <v>44887</v>
      </c>
      <c r="D619" s="106">
        <v>9.786</v>
      </c>
      <c r="E619" s="100">
        <v>14.445</v>
      </c>
      <c r="F619" s="100">
        <v>-32</v>
      </c>
      <c r="G619" s="100">
        <v>-19</v>
      </c>
      <c r="H619" s="100">
        <v>1</v>
      </c>
      <c r="I619" s="100">
        <v>-39</v>
      </c>
      <c r="K619" s="105">
        <v>44887</v>
      </c>
      <c r="L619" s="100">
        <v>22.889</v>
      </c>
      <c r="M619" s="106">
        <v>15.651</v>
      </c>
      <c r="N619" s="100">
        <v>46</v>
      </c>
      <c r="O619" s="100">
        <v>45</v>
      </c>
      <c r="P619" s="100">
        <v>66</v>
      </c>
      <c r="Q619" s="100">
        <v>25</v>
      </c>
      <c r="S619" s="105">
        <v>44887</v>
      </c>
      <c r="T619" s="106">
        <f t="shared" si="9"/>
        <v>-5.865</v>
      </c>
    </row>
    <row r="620" spans="3:20">
      <c r="C620" s="105">
        <v>44886</v>
      </c>
      <c r="D620" s="106">
        <v>9.532</v>
      </c>
      <c r="E620" s="100">
        <v>14.31</v>
      </c>
      <c r="F620" s="100">
        <v>-33</v>
      </c>
      <c r="G620" s="100">
        <v>-19</v>
      </c>
      <c r="H620" s="100">
        <v>1</v>
      </c>
      <c r="I620" s="100">
        <v>-39</v>
      </c>
      <c r="K620" s="105">
        <v>44886</v>
      </c>
      <c r="L620" s="100">
        <v>22.905</v>
      </c>
      <c r="M620" s="106">
        <v>15.538</v>
      </c>
      <c r="N620" s="100">
        <v>47</v>
      </c>
      <c r="O620" s="100">
        <v>45</v>
      </c>
      <c r="P620" s="100">
        <v>66</v>
      </c>
      <c r="Q620" s="100">
        <v>25</v>
      </c>
      <c r="S620" s="105">
        <v>44886</v>
      </c>
      <c r="T620" s="106">
        <f t="shared" si="9"/>
        <v>-6.006</v>
      </c>
    </row>
    <row r="621" spans="3:20">
      <c r="C621" s="105">
        <v>44883</v>
      </c>
      <c r="D621" s="106">
        <v>9.492</v>
      </c>
      <c r="E621" s="100">
        <v>14.227</v>
      </c>
      <c r="F621" s="100">
        <v>-33</v>
      </c>
      <c r="G621" s="100">
        <v>-19</v>
      </c>
      <c r="H621" s="100">
        <v>1</v>
      </c>
      <c r="I621" s="100">
        <v>-39</v>
      </c>
      <c r="K621" s="105">
        <v>44883</v>
      </c>
      <c r="L621" s="100">
        <v>22.794</v>
      </c>
      <c r="M621" s="106">
        <v>15.451</v>
      </c>
      <c r="N621" s="100">
        <v>48</v>
      </c>
      <c r="O621" s="100">
        <v>45</v>
      </c>
      <c r="P621" s="100">
        <v>66</v>
      </c>
      <c r="Q621" s="100">
        <v>25</v>
      </c>
      <c r="S621" s="105">
        <v>44883</v>
      </c>
      <c r="T621" s="106">
        <f t="shared" si="9"/>
        <v>-5.959</v>
      </c>
    </row>
    <row r="622" spans="3:20">
      <c r="C622" s="105">
        <v>44882</v>
      </c>
      <c r="D622" s="106">
        <v>9.099</v>
      </c>
      <c r="E622" s="100">
        <v>13.86</v>
      </c>
      <c r="F622" s="100">
        <v>-34</v>
      </c>
      <c r="G622" s="100">
        <v>-19</v>
      </c>
      <c r="H622" s="100">
        <v>1</v>
      </c>
      <c r="I622" s="100">
        <v>-39</v>
      </c>
      <c r="K622" s="105">
        <v>44882</v>
      </c>
      <c r="L622" s="100">
        <v>22.562</v>
      </c>
      <c r="M622" s="106">
        <v>15.103</v>
      </c>
      <c r="N622" s="100">
        <v>49</v>
      </c>
      <c r="O622" s="100">
        <v>45</v>
      </c>
      <c r="P622" s="100">
        <v>66</v>
      </c>
      <c r="Q622" s="100">
        <v>25</v>
      </c>
      <c r="S622" s="105">
        <v>44882</v>
      </c>
      <c r="T622" s="106">
        <f t="shared" si="9"/>
        <v>-6.004</v>
      </c>
    </row>
    <row r="623" spans="3:20">
      <c r="C623" s="105">
        <v>44881</v>
      </c>
      <c r="D623" s="106">
        <v>9.123</v>
      </c>
      <c r="E623" s="100">
        <v>13.977</v>
      </c>
      <c r="F623" s="100">
        <v>-35</v>
      </c>
      <c r="G623" s="100">
        <v>-19</v>
      </c>
      <c r="H623" s="100">
        <v>1</v>
      </c>
      <c r="I623" s="100">
        <v>-39</v>
      </c>
      <c r="K623" s="105">
        <v>44881</v>
      </c>
      <c r="L623" s="100">
        <v>22.461</v>
      </c>
      <c r="M623" s="106">
        <v>15.189</v>
      </c>
      <c r="N623" s="100">
        <v>48</v>
      </c>
      <c r="O623" s="100">
        <v>45</v>
      </c>
      <c r="P623" s="100">
        <v>66</v>
      </c>
      <c r="Q623" s="100">
        <v>25</v>
      </c>
      <c r="S623" s="105">
        <v>44881</v>
      </c>
      <c r="T623" s="106">
        <f t="shared" si="9"/>
        <v>-6.066</v>
      </c>
    </row>
    <row r="624" spans="3:20">
      <c r="C624" s="105">
        <v>44880</v>
      </c>
      <c r="D624" s="106">
        <v>9.504</v>
      </c>
      <c r="E624" s="100">
        <v>14.374</v>
      </c>
      <c r="F624" s="100">
        <v>-34</v>
      </c>
      <c r="G624" s="100">
        <v>-19</v>
      </c>
      <c r="H624" s="100">
        <v>1</v>
      </c>
      <c r="I624" s="100">
        <v>-39</v>
      </c>
      <c r="K624" s="105">
        <v>44880</v>
      </c>
      <c r="L624" s="100">
        <v>22.444</v>
      </c>
      <c r="M624" s="106">
        <v>15.527</v>
      </c>
      <c r="N624" s="100">
        <v>45</v>
      </c>
      <c r="O624" s="100">
        <v>45</v>
      </c>
      <c r="P624" s="100">
        <v>66</v>
      </c>
      <c r="Q624" s="100">
        <v>25</v>
      </c>
      <c r="S624" s="105">
        <v>44880</v>
      </c>
      <c r="T624" s="106">
        <f t="shared" si="9"/>
        <v>-6.023</v>
      </c>
    </row>
    <row r="625" spans="3:20">
      <c r="C625" s="105">
        <v>44879</v>
      </c>
      <c r="D625" s="106">
        <v>9.492</v>
      </c>
      <c r="E625" s="100">
        <v>14.306</v>
      </c>
      <c r="F625" s="100">
        <v>-34</v>
      </c>
      <c r="G625" s="100">
        <v>-19</v>
      </c>
      <c r="H625" s="100">
        <v>1</v>
      </c>
      <c r="I625" s="100">
        <v>-39</v>
      </c>
      <c r="K625" s="105">
        <v>44879</v>
      </c>
      <c r="L625" s="100">
        <v>22.556</v>
      </c>
      <c r="M625" s="106">
        <v>15.485</v>
      </c>
      <c r="N625" s="100">
        <v>46</v>
      </c>
      <c r="O625" s="100">
        <v>45</v>
      </c>
      <c r="P625" s="100">
        <v>66</v>
      </c>
      <c r="Q625" s="100">
        <v>25</v>
      </c>
      <c r="S625" s="105">
        <v>44879</v>
      </c>
      <c r="T625" s="106">
        <f t="shared" si="9"/>
        <v>-5.993</v>
      </c>
    </row>
    <row r="626" spans="3:20">
      <c r="C626" s="105">
        <v>44876</v>
      </c>
      <c r="D626" s="106">
        <v>9.563</v>
      </c>
      <c r="E626" s="100">
        <v>14.283</v>
      </c>
      <c r="F626" s="100">
        <v>-33</v>
      </c>
      <c r="G626" s="100">
        <v>-19</v>
      </c>
      <c r="H626" s="100">
        <v>1</v>
      </c>
      <c r="I626" s="100">
        <v>-39</v>
      </c>
      <c r="K626" s="105">
        <v>44876</v>
      </c>
      <c r="L626" s="100">
        <v>23.125</v>
      </c>
      <c r="M626" s="106">
        <v>15.546</v>
      </c>
      <c r="N626" s="100">
        <v>49</v>
      </c>
      <c r="O626" s="100">
        <v>45</v>
      </c>
      <c r="P626" s="100">
        <v>66</v>
      </c>
      <c r="Q626" s="100">
        <v>25</v>
      </c>
      <c r="S626" s="105">
        <v>44876</v>
      </c>
      <c r="T626" s="106">
        <f t="shared" si="9"/>
        <v>-5.983</v>
      </c>
    </row>
    <row r="627" spans="3:20">
      <c r="C627" s="105">
        <v>44875</v>
      </c>
      <c r="D627" s="106">
        <v>9.234</v>
      </c>
      <c r="E627" s="100">
        <v>14.058</v>
      </c>
      <c r="F627" s="100">
        <v>-34</v>
      </c>
      <c r="G627" s="100">
        <v>-19</v>
      </c>
      <c r="H627" s="100">
        <v>1</v>
      </c>
      <c r="I627" s="100">
        <v>-39</v>
      </c>
      <c r="K627" s="105">
        <v>44875</v>
      </c>
      <c r="L627" s="100">
        <v>22.718</v>
      </c>
      <c r="M627" s="106">
        <v>15.295</v>
      </c>
      <c r="N627" s="100">
        <v>49</v>
      </c>
      <c r="O627" s="100">
        <v>45</v>
      </c>
      <c r="P627" s="100">
        <v>66</v>
      </c>
      <c r="Q627" s="100">
        <v>25</v>
      </c>
      <c r="S627" s="105">
        <v>44875</v>
      </c>
      <c r="T627" s="106">
        <f t="shared" si="9"/>
        <v>-6.061</v>
      </c>
    </row>
    <row r="628" spans="3:20">
      <c r="C628" s="105">
        <v>44874</v>
      </c>
      <c r="D628" s="106">
        <v>8.528</v>
      </c>
      <c r="E628" s="100">
        <v>13.632</v>
      </c>
      <c r="F628" s="100">
        <v>-37</v>
      </c>
      <c r="G628" s="100">
        <v>-19</v>
      </c>
      <c r="H628" s="100">
        <v>1</v>
      </c>
      <c r="I628" s="100">
        <v>-39</v>
      </c>
      <c r="K628" s="105">
        <v>44874</v>
      </c>
      <c r="L628" s="100">
        <v>22.211</v>
      </c>
      <c r="M628" s="106">
        <v>14.858</v>
      </c>
      <c r="N628" s="100">
        <v>49</v>
      </c>
      <c r="O628" s="100">
        <v>45</v>
      </c>
      <c r="P628" s="100">
        <v>66</v>
      </c>
      <c r="Q628" s="100">
        <v>25</v>
      </c>
      <c r="S628" s="105">
        <v>44874</v>
      </c>
      <c r="T628" s="106">
        <f t="shared" si="9"/>
        <v>-6.33</v>
      </c>
    </row>
    <row r="629" spans="3:20">
      <c r="C629" s="105">
        <v>44873</v>
      </c>
      <c r="D629" s="106">
        <v>8.563</v>
      </c>
      <c r="E629" s="100">
        <v>13.596</v>
      </c>
      <c r="F629" s="100">
        <v>-37</v>
      </c>
      <c r="G629" s="100">
        <v>-19</v>
      </c>
      <c r="H629" s="100">
        <v>1</v>
      </c>
      <c r="I629" s="100">
        <v>-39</v>
      </c>
      <c r="K629" s="105">
        <v>44873</v>
      </c>
      <c r="L629" s="100">
        <v>21.935</v>
      </c>
      <c r="M629" s="106">
        <v>14.787</v>
      </c>
      <c r="N629" s="100">
        <v>48</v>
      </c>
      <c r="O629" s="100">
        <v>45</v>
      </c>
      <c r="P629" s="100">
        <v>66</v>
      </c>
      <c r="Q629" s="100">
        <v>25</v>
      </c>
      <c r="S629" s="105">
        <v>44873</v>
      </c>
      <c r="T629" s="106">
        <f t="shared" si="9"/>
        <v>-6.224</v>
      </c>
    </row>
    <row r="630" spans="3:20">
      <c r="C630" s="105">
        <v>44872</v>
      </c>
      <c r="D630" s="106">
        <v>8.286</v>
      </c>
      <c r="E630" s="100">
        <v>13.357</v>
      </c>
      <c r="F630" s="100">
        <v>-38</v>
      </c>
      <c r="G630" s="100">
        <v>-19</v>
      </c>
      <c r="H630" s="100">
        <v>1</v>
      </c>
      <c r="I630" s="100">
        <v>-39</v>
      </c>
      <c r="K630" s="105">
        <v>44872</v>
      </c>
      <c r="L630" s="100">
        <v>21.844</v>
      </c>
      <c r="M630" s="106">
        <v>14.569</v>
      </c>
      <c r="N630" s="100">
        <v>50</v>
      </c>
      <c r="O630" s="100">
        <v>45</v>
      </c>
      <c r="P630" s="100">
        <v>66</v>
      </c>
      <c r="Q630" s="100">
        <v>25</v>
      </c>
      <c r="S630" s="105">
        <v>44872</v>
      </c>
      <c r="T630" s="106">
        <f t="shared" si="9"/>
        <v>-6.283</v>
      </c>
    </row>
    <row r="631" spans="3:20">
      <c r="C631" s="105">
        <v>44869</v>
      </c>
      <c r="D631" s="106">
        <v>8.258</v>
      </c>
      <c r="E631" s="100">
        <v>13.214</v>
      </c>
      <c r="F631" s="100">
        <v>-38</v>
      </c>
      <c r="G631" s="100">
        <v>-19</v>
      </c>
      <c r="H631" s="100">
        <v>1</v>
      </c>
      <c r="I631" s="100">
        <v>-39</v>
      </c>
      <c r="K631" s="105">
        <v>44869</v>
      </c>
      <c r="L631" s="100">
        <v>21.715</v>
      </c>
      <c r="M631" s="106">
        <v>14.428</v>
      </c>
      <c r="N631" s="100">
        <v>51</v>
      </c>
      <c r="O631" s="100">
        <v>45</v>
      </c>
      <c r="P631" s="100">
        <v>66</v>
      </c>
      <c r="Q631" s="100">
        <v>25</v>
      </c>
      <c r="S631" s="105">
        <v>44869</v>
      </c>
      <c r="T631" s="106">
        <f t="shared" si="9"/>
        <v>-6.17</v>
      </c>
    </row>
    <row r="632" spans="3:20">
      <c r="C632" s="105">
        <v>44868</v>
      </c>
      <c r="D632" s="106">
        <v>7.817</v>
      </c>
      <c r="E632" s="100">
        <v>12.705</v>
      </c>
      <c r="F632" s="100">
        <v>-38</v>
      </c>
      <c r="G632" s="100">
        <v>-19</v>
      </c>
      <c r="H632" s="100">
        <v>1</v>
      </c>
      <c r="I632" s="100">
        <v>-39</v>
      </c>
      <c r="K632" s="105">
        <v>44868</v>
      </c>
      <c r="L632" s="100">
        <v>21.476</v>
      </c>
      <c r="M632" s="106">
        <v>13.958</v>
      </c>
      <c r="N632" s="100">
        <v>54</v>
      </c>
      <c r="O632" s="100">
        <v>45</v>
      </c>
      <c r="P632" s="100">
        <v>66</v>
      </c>
      <c r="Q632" s="100">
        <v>25</v>
      </c>
      <c r="S632" s="105">
        <v>44868</v>
      </c>
      <c r="T632" s="106">
        <f t="shared" si="9"/>
        <v>-6.141</v>
      </c>
    </row>
    <row r="633" spans="3:20">
      <c r="C633" s="105">
        <v>44867</v>
      </c>
      <c r="D633" s="106">
        <v>8.008</v>
      </c>
      <c r="E633" s="100">
        <v>12.947</v>
      </c>
      <c r="F633" s="100">
        <v>-38</v>
      </c>
      <c r="G633" s="100">
        <v>-19</v>
      </c>
      <c r="H633" s="100">
        <v>1</v>
      </c>
      <c r="I633" s="100">
        <v>-39</v>
      </c>
      <c r="K633" s="105">
        <v>44867</v>
      </c>
      <c r="L633" s="100">
        <v>21.622</v>
      </c>
      <c r="M633" s="106">
        <v>14.187</v>
      </c>
      <c r="N633" s="100">
        <v>52</v>
      </c>
      <c r="O633" s="100">
        <v>45</v>
      </c>
      <c r="P633" s="100">
        <v>66</v>
      </c>
      <c r="Q633" s="100">
        <v>25</v>
      </c>
      <c r="S633" s="105">
        <v>44867</v>
      </c>
      <c r="T633" s="106">
        <f t="shared" si="9"/>
        <v>-6.179</v>
      </c>
    </row>
    <row r="634" spans="3:20">
      <c r="C634" s="105">
        <v>44866</v>
      </c>
      <c r="D634" s="106">
        <v>7.952</v>
      </c>
      <c r="E634" s="100">
        <v>12.981</v>
      </c>
      <c r="F634" s="100">
        <v>-39</v>
      </c>
      <c r="G634" s="100">
        <v>-19</v>
      </c>
      <c r="H634" s="100">
        <v>1</v>
      </c>
      <c r="I634" s="100">
        <v>-39</v>
      </c>
      <c r="K634" s="105">
        <v>44866</v>
      </c>
      <c r="L634" s="100">
        <v>21.519</v>
      </c>
      <c r="M634" s="106">
        <v>14.201</v>
      </c>
      <c r="N634" s="100">
        <v>52</v>
      </c>
      <c r="O634" s="100">
        <v>45</v>
      </c>
      <c r="P634" s="100">
        <v>66</v>
      </c>
      <c r="Q634" s="100">
        <v>25</v>
      </c>
      <c r="S634" s="105">
        <v>44866</v>
      </c>
      <c r="T634" s="106">
        <f t="shared" si="9"/>
        <v>-6.249</v>
      </c>
    </row>
    <row r="635" spans="3:20">
      <c r="C635" s="105">
        <v>44865</v>
      </c>
      <c r="D635" s="106">
        <v>7.733</v>
      </c>
      <c r="E635" s="100">
        <v>12.768</v>
      </c>
      <c r="F635" s="100">
        <v>-39</v>
      </c>
      <c r="G635" s="100">
        <v>-19</v>
      </c>
      <c r="H635" s="100">
        <v>1</v>
      </c>
      <c r="I635" s="100">
        <v>-39</v>
      </c>
      <c r="K635" s="105">
        <v>44865</v>
      </c>
      <c r="L635" s="100">
        <v>21.377</v>
      </c>
      <c r="M635" s="106">
        <v>13.998</v>
      </c>
      <c r="N635" s="100">
        <v>53</v>
      </c>
      <c r="O635" s="100">
        <v>45</v>
      </c>
      <c r="P635" s="100">
        <v>66</v>
      </c>
      <c r="Q635" s="100">
        <v>25</v>
      </c>
      <c r="S635" s="105">
        <v>44865</v>
      </c>
      <c r="T635" s="106">
        <f t="shared" si="9"/>
        <v>-6.265</v>
      </c>
    </row>
    <row r="636" spans="3:20">
      <c r="C636" s="105">
        <v>44862</v>
      </c>
      <c r="D636" s="106">
        <v>7.687</v>
      </c>
      <c r="E636" s="100">
        <v>12.664</v>
      </c>
      <c r="F636" s="100">
        <v>-39</v>
      </c>
      <c r="G636" s="100">
        <v>-19</v>
      </c>
      <c r="H636" s="100">
        <v>1</v>
      </c>
      <c r="I636" s="100">
        <v>-39</v>
      </c>
      <c r="K636" s="105">
        <v>44862</v>
      </c>
      <c r="L636" s="100">
        <v>21.446</v>
      </c>
      <c r="M636" s="106">
        <v>13.919</v>
      </c>
      <c r="N636" s="100">
        <v>54</v>
      </c>
      <c r="O636" s="100">
        <v>45</v>
      </c>
      <c r="P636" s="100">
        <v>66</v>
      </c>
      <c r="Q636" s="100">
        <v>25</v>
      </c>
      <c r="S636" s="105">
        <v>44862</v>
      </c>
      <c r="T636" s="106">
        <f t="shared" si="9"/>
        <v>-6.232</v>
      </c>
    </row>
    <row r="637" spans="3:20">
      <c r="C637" s="105">
        <v>44861</v>
      </c>
      <c r="D637" s="106">
        <v>8.06</v>
      </c>
      <c r="E637" s="100">
        <v>12.994</v>
      </c>
      <c r="F637" s="100">
        <v>-38</v>
      </c>
      <c r="G637" s="100">
        <v>-19</v>
      </c>
      <c r="H637" s="100">
        <v>1</v>
      </c>
      <c r="I637" s="100">
        <v>-39</v>
      </c>
      <c r="K637" s="105">
        <v>44861</v>
      </c>
      <c r="L637" s="100">
        <v>21.472</v>
      </c>
      <c r="M637" s="106">
        <v>14.205</v>
      </c>
      <c r="N637" s="100">
        <v>51</v>
      </c>
      <c r="O637" s="100">
        <v>45</v>
      </c>
      <c r="P637" s="100">
        <v>66</v>
      </c>
      <c r="Q637" s="100">
        <v>25</v>
      </c>
      <c r="S637" s="105">
        <v>44861</v>
      </c>
      <c r="T637" s="106">
        <f t="shared" si="9"/>
        <v>-6.145</v>
      </c>
    </row>
    <row r="638" spans="3:20">
      <c r="C638" s="105">
        <v>44860</v>
      </c>
      <c r="D638" s="106">
        <v>8.06</v>
      </c>
      <c r="E638" s="100">
        <v>13.051</v>
      </c>
      <c r="F638" s="100">
        <v>-38</v>
      </c>
      <c r="G638" s="100">
        <v>-19</v>
      </c>
      <c r="H638" s="100">
        <v>1</v>
      </c>
      <c r="I638" s="100">
        <v>-39</v>
      </c>
      <c r="K638" s="105">
        <v>44860</v>
      </c>
      <c r="L638" s="100">
        <v>21.391</v>
      </c>
      <c r="M638" s="106">
        <v>14.242</v>
      </c>
      <c r="N638" s="100">
        <v>50</v>
      </c>
      <c r="O638" s="100">
        <v>45</v>
      </c>
      <c r="P638" s="100">
        <v>66</v>
      </c>
      <c r="Q638" s="100">
        <v>25</v>
      </c>
      <c r="S638" s="105">
        <v>44860</v>
      </c>
      <c r="T638" s="106">
        <f t="shared" si="9"/>
        <v>-6.182</v>
      </c>
    </row>
    <row r="639" spans="3:20">
      <c r="C639" s="105">
        <v>44859</v>
      </c>
      <c r="D639" s="106">
        <v>7.802</v>
      </c>
      <c r="E639" s="100">
        <v>12.937</v>
      </c>
      <c r="F639" s="100">
        <v>-40</v>
      </c>
      <c r="G639" s="100">
        <v>-19</v>
      </c>
      <c r="H639" s="100">
        <v>1</v>
      </c>
      <c r="I639" s="100">
        <v>-39</v>
      </c>
      <c r="K639" s="105">
        <v>44859</v>
      </c>
      <c r="L639" s="100">
        <v>21.101</v>
      </c>
      <c r="M639" s="106">
        <v>14.104</v>
      </c>
      <c r="N639" s="100">
        <v>50</v>
      </c>
      <c r="O639" s="100">
        <v>45</v>
      </c>
      <c r="P639" s="100">
        <v>66</v>
      </c>
      <c r="Q639" s="100">
        <v>25</v>
      </c>
      <c r="S639" s="105">
        <v>44859</v>
      </c>
      <c r="T639" s="106">
        <f t="shared" si="9"/>
        <v>-6.302</v>
      </c>
    </row>
    <row r="640" spans="3:20">
      <c r="C640" s="105">
        <v>44858</v>
      </c>
      <c r="D640" s="106">
        <v>7.583</v>
      </c>
      <c r="E640" s="100">
        <v>12.599</v>
      </c>
      <c r="F640" s="100">
        <v>-40</v>
      </c>
      <c r="G640" s="100">
        <v>-19</v>
      </c>
      <c r="H640" s="100">
        <v>1</v>
      </c>
      <c r="I640" s="100">
        <v>-39</v>
      </c>
      <c r="K640" s="105">
        <v>44858</v>
      </c>
      <c r="L640" s="100">
        <v>20.928</v>
      </c>
      <c r="M640" s="106">
        <v>13.788</v>
      </c>
      <c r="N640" s="100">
        <v>52</v>
      </c>
      <c r="O640" s="100">
        <v>45</v>
      </c>
      <c r="P640" s="100">
        <v>66</v>
      </c>
      <c r="Q640" s="100">
        <v>25</v>
      </c>
      <c r="S640" s="105">
        <v>44858</v>
      </c>
      <c r="T640" s="106">
        <f t="shared" si="9"/>
        <v>-6.205</v>
      </c>
    </row>
    <row r="641" spans="3:20">
      <c r="C641" s="105">
        <v>44855</v>
      </c>
      <c r="D641" s="106">
        <v>7.475</v>
      </c>
      <c r="E641" s="100">
        <v>12.365</v>
      </c>
      <c r="F641" s="100">
        <v>-40</v>
      </c>
      <c r="G641" s="100">
        <v>-19</v>
      </c>
      <c r="H641" s="100">
        <v>1</v>
      </c>
      <c r="I641" s="100">
        <v>-39</v>
      </c>
      <c r="K641" s="105">
        <v>44855</v>
      </c>
      <c r="L641" s="100">
        <v>21.4</v>
      </c>
      <c r="M641" s="106">
        <v>13.656</v>
      </c>
      <c r="N641" s="100">
        <v>57</v>
      </c>
      <c r="O641" s="100">
        <v>45</v>
      </c>
      <c r="P641" s="100">
        <v>66</v>
      </c>
      <c r="Q641" s="100">
        <v>25</v>
      </c>
      <c r="S641" s="105">
        <v>44855</v>
      </c>
      <c r="T641" s="106">
        <f t="shared" si="9"/>
        <v>-6.181</v>
      </c>
    </row>
    <row r="642" spans="3:20">
      <c r="C642" s="105">
        <v>44854</v>
      </c>
      <c r="D642" s="106">
        <v>7.96</v>
      </c>
      <c r="E642" s="100">
        <v>12.721</v>
      </c>
      <c r="F642" s="100">
        <v>-37</v>
      </c>
      <c r="G642" s="100">
        <v>-19</v>
      </c>
      <c r="H642" s="100">
        <v>1</v>
      </c>
      <c r="I642" s="100">
        <v>-39</v>
      </c>
      <c r="K642" s="105">
        <v>44854</v>
      </c>
      <c r="L642" s="100">
        <v>21.66</v>
      </c>
      <c r="M642" s="106">
        <v>13.998</v>
      </c>
      <c r="N642" s="100">
        <v>55</v>
      </c>
      <c r="O642" s="100">
        <v>45</v>
      </c>
      <c r="P642" s="100">
        <v>66</v>
      </c>
      <c r="Q642" s="100">
        <v>25</v>
      </c>
      <c r="S642" s="105">
        <v>44854</v>
      </c>
      <c r="T642" s="106">
        <f t="shared" si="9"/>
        <v>-6.038</v>
      </c>
    </row>
    <row r="643" spans="3:20">
      <c r="C643" s="105">
        <v>44853</v>
      </c>
      <c r="D643" s="106">
        <v>7.811</v>
      </c>
      <c r="E643" s="100">
        <v>12.592</v>
      </c>
      <c r="F643" s="100">
        <v>-38</v>
      </c>
      <c r="G643" s="100">
        <v>-19</v>
      </c>
      <c r="H643" s="100">
        <v>1</v>
      </c>
      <c r="I643" s="100">
        <v>-39</v>
      </c>
      <c r="K643" s="105">
        <v>44853</v>
      </c>
      <c r="L643" s="100">
        <v>21.799</v>
      </c>
      <c r="M643" s="106">
        <v>13.908</v>
      </c>
      <c r="N643" s="100">
        <v>57</v>
      </c>
      <c r="O643" s="100">
        <v>45</v>
      </c>
      <c r="P643" s="100">
        <v>66</v>
      </c>
      <c r="Q643" s="100">
        <v>25</v>
      </c>
      <c r="S643" s="105">
        <v>44853</v>
      </c>
      <c r="T643" s="106">
        <f t="shared" si="9"/>
        <v>-6.097</v>
      </c>
    </row>
    <row r="644" spans="3:20">
      <c r="C644" s="105">
        <v>44852</v>
      </c>
      <c r="D644" s="106">
        <v>7.852</v>
      </c>
      <c r="E644" s="100">
        <v>12.789</v>
      </c>
      <c r="F644" s="100">
        <v>-39</v>
      </c>
      <c r="G644" s="100">
        <v>-19</v>
      </c>
      <c r="H644" s="100">
        <v>1</v>
      </c>
      <c r="I644" s="100">
        <v>-39</v>
      </c>
      <c r="K644" s="105">
        <v>44852</v>
      </c>
      <c r="L644" s="100">
        <v>21.851</v>
      </c>
      <c r="M644" s="106">
        <v>14.084</v>
      </c>
      <c r="N644" s="100">
        <v>55</v>
      </c>
      <c r="O644" s="100">
        <v>45</v>
      </c>
      <c r="P644" s="100">
        <v>66</v>
      </c>
      <c r="Q644" s="100">
        <v>25</v>
      </c>
      <c r="S644" s="105">
        <v>44852</v>
      </c>
      <c r="T644" s="106">
        <f t="shared" si="9"/>
        <v>-6.232</v>
      </c>
    </row>
    <row r="645" spans="3:20">
      <c r="C645" s="105">
        <v>44851</v>
      </c>
      <c r="D645" s="106">
        <v>7.829</v>
      </c>
      <c r="E645" s="100">
        <v>12.653</v>
      </c>
      <c r="F645" s="100">
        <v>-38</v>
      </c>
      <c r="G645" s="100">
        <v>-19</v>
      </c>
      <c r="H645" s="100">
        <v>1</v>
      </c>
      <c r="I645" s="100">
        <v>-39</v>
      </c>
      <c r="K645" s="105">
        <v>44851</v>
      </c>
      <c r="L645" s="100">
        <v>21.423</v>
      </c>
      <c r="M645" s="106">
        <v>13.906</v>
      </c>
      <c r="N645" s="100">
        <v>54</v>
      </c>
      <c r="O645" s="100">
        <v>45</v>
      </c>
      <c r="P645" s="100">
        <v>66</v>
      </c>
      <c r="Q645" s="100">
        <v>25</v>
      </c>
      <c r="S645" s="105">
        <v>44851</v>
      </c>
      <c r="T645" s="106">
        <f t="shared" si="9"/>
        <v>-6.077</v>
      </c>
    </row>
    <row r="646" spans="3:20">
      <c r="C646" s="105">
        <v>44848</v>
      </c>
      <c r="D646" s="106">
        <v>7.579</v>
      </c>
      <c r="E646" s="100">
        <v>12.35</v>
      </c>
      <c r="F646" s="100">
        <v>-39</v>
      </c>
      <c r="G646" s="100">
        <v>-19</v>
      </c>
      <c r="H646" s="100">
        <v>1</v>
      </c>
      <c r="I646" s="100">
        <v>-39</v>
      </c>
      <c r="K646" s="105">
        <v>44848</v>
      </c>
      <c r="L646" s="100">
        <v>21.342</v>
      </c>
      <c r="M646" s="106">
        <v>13.635</v>
      </c>
      <c r="N646" s="100">
        <v>57</v>
      </c>
      <c r="O646" s="100">
        <v>45</v>
      </c>
      <c r="P646" s="100">
        <v>66</v>
      </c>
      <c r="Q646" s="100">
        <v>25</v>
      </c>
      <c r="S646" s="105">
        <v>44848</v>
      </c>
      <c r="T646" s="106">
        <f t="shared" si="9"/>
        <v>-6.056</v>
      </c>
    </row>
    <row r="647" spans="3:20">
      <c r="C647" s="105">
        <v>44847</v>
      </c>
      <c r="D647" s="106">
        <v>7.46</v>
      </c>
      <c r="E647" s="100">
        <v>12.344</v>
      </c>
      <c r="F647" s="100">
        <v>-40</v>
      </c>
      <c r="G647" s="100">
        <v>-19</v>
      </c>
      <c r="H647" s="100">
        <v>1</v>
      </c>
      <c r="I647" s="100">
        <v>-39</v>
      </c>
      <c r="K647" s="105">
        <v>44847</v>
      </c>
      <c r="L647" s="100">
        <v>21.374</v>
      </c>
      <c r="M647" s="106">
        <v>13.634</v>
      </c>
      <c r="N647" s="100">
        <v>57</v>
      </c>
      <c r="O647" s="100">
        <v>45</v>
      </c>
      <c r="P647" s="100">
        <v>66</v>
      </c>
      <c r="Q647" s="100">
        <v>25</v>
      </c>
      <c r="S647" s="105">
        <v>44847</v>
      </c>
      <c r="T647" s="106">
        <f t="shared" si="9"/>
        <v>-6.174</v>
      </c>
    </row>
    <row r="648" spans="3:20">
      <c r="C648" s="105">
        <v>44846</v>
      </c>
      <c r="D648" s="106">
        <v>7.079</v>
      </c>
      <c r="E648" s="100">
        <v>12.07</v>
      </c>
      <c r="F648" s="100">
        <v>-41</v>
      </c>
      <c r="G648" s="100">
        <v>-19</v>
      </c>
      <c r="H648" s="100">
        <v>1</v>
      </c>
      <c r="I648" s="100">
        <v>-39</v>
      </c>
      <c r="K648" s="105">
        <v>44846</v>
      </c>
      <c r="L648" s="100">
        <v>21.658</v>
      </c>
      <c r="M648" s="106">
        <v>13.44</v>
      </c>
      <c r="N648" s="100">
        <v>61</v>
      </c>
      <c r="O648" s="100">
        <v>45</v>
      </c>
      <c r="P648" s="100">
        <v>66</v>
      </c>
      <c r="Q648" s="100">
        <v>25</v>
      </c>
      <c r="S648" s="105">
        <v>44846</v>
      </c>
      <c r="T648" s="106">
        <f t="shared" si="9"/>
        <v>-6.361</v>
      </c>
    </row>
    <row r="649" spans="3:20">
      <c r="C649" s="105">
        <v>44845</v>
      </c>
      <c r="D649" s="106">
        <v>7.894</v>
      </c>
      <c r="E649" s="100">
        <v>12.221</v>
      </c>
      <c r="F649" s="100">
        <v>-35</v>
      </c>
      <c r="G649" s="100">
        <v>-19</v>
      </c>
      <c r="H649" s="100">
        <v>1</v>
      </c>
      <c r="I649" s="100">
        <v>-39</v>
      </c>
      <c r="K649" s="105">
        <v>44845</v>
      </c>
      <c r="L649" s="100">
        <v>21.968</v>
      </c>
      <c r="M649" s="106">
        <v>13.613</v>
      </c>
      <c r="N649" s="100">
        <v>61</v>
      </c>
      <c r="O649" s="100">
        <v>45</v>
      </c>
      <c r="P649" s="100">
        <v>66</v>
      </c>
      <c r="Q649" s="100">
        <v>25</v>
      </c>
      <c r="S649" s="105">
        <v>44845</v>
      </c>
      <c r="T649" s="106">
        <f t="shared" si="9"/>
        <v>-5.719</v>
      </c>
    </row>
    <row r="650" spans="3:20">
      <c r="C650" s="105">
        <v>44844</v>
      </c>
      <c r="D650" s="106">
        <v>8.063</v>
      </c>
      <c r="E650" s="100">
        <v>12.299</v>
      </c>
      <c r="F650" s="100">
        <v>-34</v>
      </c>
      <c r="G650" s="100">
        <v>-19</v>
      </c>
      <c r="H650" s="100">
        <v>1</v>
      </c>
      <c r="I650" s="100">
        <v>-39</v>
      </c>
      <c r="K650" s="105">
        <v>44844</v>
      </c>
      <c r="L650" s="100">
        <v>22.293</v>
      </c>
      <c r="M650" s="106">
        <v>13.727</v>
      </c>
      <c r="N650" s="100">
        <v>62</v>
      </c>
      <c r="O650" s="100">
        <v>45</v>
      </c>
      <c r="P650" s="100">
        <v>66</v>
      </c>
      <c r="Q650" s="100">
        <v>25</v>
      </c>
      <c r="S650" s="105">
        <v>44844</v>
      </c>
      <c r="T650" s="106">
        <f t="shared" si="9"/>
        <v>-5.664</v>
      </c>
    </row>
    <row r="651" spans="3:20">
      <c r="C651" s="105">
        <v>44841</v>
      </c>
      <c r="D651" s="106">
        <v>7.916</v>
      </c>
      <c r="E651" s="100">
        <v>12.179</v>
      </c>
      <c r="F651" s="100">
        <v>-35</v>
      </c>
      <c r="G651" s="100">
        <v>-19</v>
      </c>
      <c r="H651" s="100">
        <v>1</v>
      </c>
      <c r="I651" s="100">
        <v>-39</v>
      </c>
      <c r="K651" s="105">
        <v>44841</v>
      </c>
      <c r="L651" s="100">
        <v>22.404</v>
      </c>
      <c r="M651" s="106">
        <v>13.64</v>
      </c>
      <c r="N651" s="100">
        <v>64</v>
      </c>
      <c r="O651" s="100">
        <v>45</v>
      </c>
      <c r="P651" s="100">
        <v>66</v>
      </c>
      <c r="Q651" s="100">
        <v>25</v>
      </c>
      <c r="S651" s="105">
        <v>44841</v>
      </c>
      <c r="T651" s="106">
        <f t="shared" si="9"/>
        <v>-5.724</v>
      </c>
    </row>
    <row r="652" spans="3:20">
      <c r="C652" s="105">
        <v>44840</v>
      </c>
      <c r="D652" s="106">
        <v>8.262</v>
      </c>
      <c r="E652" s="100">
        <v>12.423</v>
      </c>
      <c r="F652" s="100">
        <v>-33</v>
      </c>
      <c r="G652" s="100">
        <v>-19</v>
      </c>
      <c r="H652" s="100">
        <v>1</v>
      </c>
      <c r="I652" s="100">
        <v>-39</v>
      </c>
      <c r="K652" s="105">
        <v>44840</v>
      </c>
      <c r="L652" s="100">
        <v>22.816</v>
      </c>
      <c r="M652" s="106">
        <v>13.908</v>
      </c>
      <c r="N652" s="100">
        <v>64</v>
      </c>
      <c r="O652" s="100">
        <v>45</v>
      </c>
      <c r="P652" s="100">
        <v>66</v>
      </c>
      <c r="Q652" s="100">
        <v>25</v>
      </c>
      <c r="S652" s="105">
        <v>44840</v>
      </c>
      <c r="T652" s="106">
        <f t="shared" si="9"/>
        <v>-5.646</v>
      </c>
    </row>
    <row r="653" spans="3:20">
      <c r="C653" s="105">
        <v>44839</v>
      </c>
      <c r="D653" s="106">
        <v>8.294</v>
      </c>
      <c r="E653" s="100">
        <v>12.564</v>
      </c>
      <c r="F653" s="100">
        <v>-34</v>
      </c>
      <c r="G653" s="100">
        <v>-19</v>
      </c>
      <c r="H653" s="100">
        <v>1</v>
      </c>
      <c r="I653" s="100">
        <v>-39</v>
      </c>
      <c r="K653" s="105">
        <v>44839</v>
      </c>
      <c r="L653" s="100">
        <v>23.186</v>
      </c>
      <c r="M653" s="106">
        <v>14.081</v>
      </c>
      <c r="N653" s="100">
        <v>65</v>
      </c>
      <c r="O653" s="100">
        <v>45</v>
      </c>
      <c r="P653" s="100">
        <v>66</v>
      </c>
      <c r="Q653" s="100">
        <v>25</v>
      </c>
      <c r="S653" s="105">
        <v>44839</v>
      </c>
      <c r="T653" s="106">
        <f t="shared" si="9"/>
        <v>-5.787</v>
      </c>
    </row>
    <row r="654" spans="3:20">
      <c r="C654" s="105">
        <v>44838</v>
      </c>
      <c r="D654" s="106">
        <v>8.567</v>
      </c>
      <c r="E654" s="100">
        <v>12.953</v>
      </c>
      <c r="F654" s="100">
        <v>-34</v>
      </c>
      <c r="G654" s="100">
        <v>-19</v>
      </c>
      <c r="H654" s="100">
        <v>1</v>
      </c>
      <c r="I654" s="100">
        <v>-39</v>
      </c>
      <c r="K654" s="105">
        <v>44838</v>
      </c>
      <c r="L654" s="100">
        <v>22.982</v>
      </c>
      <c r="M654" s="106">
        <v>14.386</v>
      </c>
      <c r="N654" s="100">
        <v>60</v>
      </c>
      <c r="O654" s="100">
        <v>45</v>
      </c>
      <c r="P654" s="100">
        <v>66</v>
      </c>
      <c r="Q654" s="100">
        <v>25</v>
      </c>
      <c r="S654" s="105">
        <v>44838</v>
      </c>
      <c r="T654" s="106">
        <f t="shared" si="9"/>
        <v>-5.819</v>
      </c>
    </row>
    <row r="655" spans="3:20">
      <c r="C655" s="105">
        <v>44837</v>
      </c>
      <c r="D655" s="106">
        <v>8.226</v>
      </c>
      <c r="E655" s="100">
        <v>12.47</v>
      </c>
      <c r="F655" s="100">
        <v>-34</v>
      </c>
      <c r="G655" s="100">
        <v>-19</v>
      </c>
      <c r="H655" s="100">
        <v>1</v>
      </c>
      <c r="I655" s="100">
        <v>-39</v>
      </c>
      <c r="K655" s="105">
        <v>44837</v>
      </c>
      <c r="L655" s="100">
        <v>22.761</v>
      </c>
      <c r="M655" s="106">
        <v>13.94</v>
      </c>
      <c r="N655" s="100">
        <v>63</v>
      </c>
      <c r="O655" s="100">
        <v>45</v>
      </c>
      <c r="P655" s="100">
        <v>66</v>
      </c>
      <c r="Q655" s="100">
        <v>25</v>
      </c>
      <c r="S655" s="105">
        <v>44837</v>
      </c>
      <c r="T655" s="106">
        <f t="shared" si="9"/>
        <v>-5.714</v>
      </c>
    </row>
    <row r="656" spans="3:20">
      <c r="C656" s="105">
        <v>44834</v>
      </c>
      <c r="D656" s="106">
        <v>7.974</v>
      </c>
      <c r="E656" s="100">
        <v>12.296</v>
      </c>
      <c r="F656" s="100">
        <v>-35</v>
      </c>
      <c r="G656" s="100">
        <v>-19</v>
      </c>
      <c r="H656" s="100">
        <v>1</v>
      </c>
      <c r="I656" s="100">
        <v>-39</v>
      </c>
      <c r="K656" s="105">
        <v>44834</v>
      </c>
      <c r="L656" s="100">
        <v>22.736</v>
      </c>
      <c r="M656" s="106">
        <v>13.788</v>
      </c>
      <c r="N656" s="100">
        <v>65</v>
      </c>
      <c r="O656" s="100">
        <v>45</v>
      </c>
      <c r="P656" s="100">
        <v>66</v>
      </c>
      <c r="Q656" s="100">
        <v>25</v>
      </c>
      <c r="S656" s="105">
        <v>44834</v>
      </c>
      <c r="T656" s="106">
        <f t="shared" si="9"/>
        <v>-5.814</v>
      </c>
    </row>
    <row r="657" spans="3:20">
      <c r="C657" s="105">
        <v>44833</v>
      </c>
      <c r="D657" s="106">
        <v>7.95</v>
      </c>
      <c r="E657" s="100">
        <v>11.902</v>
      </c>
      <c r="F657" s="100">
        <v>-33</v>
      </c>
      <c r="G657" s="100">
        <v>-19</v>
      </c>
      <c r="H657" s="100">
        <v>1</v>
      </c>
      <c r="I657" s="100">
        <v>-39</v>
      </c>
      <c r="K657" s="105">
        <v>44833</v>
      </c>
      <c r="L657" s="100">
        <v>22.655</v>
      </c>
      <c r="M657" s="106">
        <v>13.438</v>
      </c>
      <c r="N657" s="100">
        <v>69</v>
      </c>
      <c r="O657" s="100">
        <v>45</v>
      </c>
      <c r="P657" s="100">
        <v>66</v>
      </c>
      <c r="Q657" s="100">
        <v>25</v>
      </c>
      <c r="S657" s="105">
        <v>44833</v>
      </c>
      <c r="T657" s="106">
        <f t="shared" si="9"/>
        <v>-5.488</v>
      </c>
    </row>
    <row r="658" spans="3:20">
      <c r="C658" s="105">
        <v>44832</v>
      </c>
      <c r="D658" s="106">
        <v>8.324</v>
      </c>
      <c r="E658" s="100">
        <v>12.28</v>
      </c>
      <c r="F658" s="100">
        <v>-32</v>
      </c>
      <c r="G658" s="100">
        <v>-19</v>
      </c>
      <c r="H658" s="100">
        <v>1</v>
      </c>
      <c r="I658" s="100">
        <v>-39</v>
      </c>
      <c r="K658" s="105">
        <v>44832</v>
      </c>
      <c r="L658" s="100">
        <v>22.421</v>
      </c>
      <c r="M658" s="106">
        <v>13.728</v>
      </c>
      <c r="N658" s="100">
        <v>63</v>
      </c>
      <c r="O658" s="100">
        <v>45</v>
      </c>
      <c r="P658" s="100">
        <v>66</v>
      </c>
      <c r="Q658" s="100">
        <v>25</v>
      </c>
      <c r="S658" s="105">
        <v>44832</v>
      </c>
      <c r="T658" s="106">
        <f t="shared" si="9"/>
        <v>-5.404</v>
      </c>
    </row>
    <row r="659" spans="3:20">
      <c r="C659" s="105">
        <v>44831</v>
      </c>
      <c r="D659" s="106">
        <v>8.235</v>
      </c>
      <c r="E659" s="100">
        <v>12.27</v>
      </c>
      <c r="F659" s="100">
        <v>-33</v>
      </c>
      <c r="G659" s="100">
        <v>-19</v>
      </c>
      <c r="H659" s="100">
        <v>1</v>
      </c>
      <c r="I659" s="100">
        <v>-39</v>
      </c>
      <c r="K659" s="105">
        <v>44831</v>
      </c>
      <c r="L659" s="100">
        <v>22.214</v>
      </c>
      <c r="M659" s="106">
        <v>13.69</v>
      </c>
      <c r="N659" s="100">
        <v>62</v>
      </c>
      <c r="O659" s="100">
        <v>45</v>
      </c>
      <c r="P659" s="100">
        <v>66</v>
      </c>
      <c r="Q659" s="100">
        <v>25</v>
      </c>
      <c r="S659" s="105">
        <v>44831</v>
      </c>
      <c r="T659" s="106">
        <f t="shared" si="9"/>
        <v>-5.455</v>
      </c>
    </row>
    <row r="660" spans="3:20">
      <c r="C660" s="105">
        <v>44830</v>
      </c>
      <c r="D660" s="106">
        <v>8.271</v>
      </c>
      <c r="E660" s="100">
        <v>12.347</v>
      </c>
      <c r="F660" s="100">
        <v>-33</v>
      </c>
      <c r="G660" s="100">
        <v>-19</v>
      </c>
      <c r="H660" s="100">
        <v>1</v>
      </c>
      <c r="I660" s="100">
        <v>-39</v>
      </c>
      <c r="K660" s="105">
        <v>44830</v>
      </c>
      <c r="L660" s="100">
        <v>22.258</v>
      </c>
      <c r="M660" s="106">
        <v>13.763</v>
      </c>
      <c r="N660" s="100">
        <v>62</v>
      </c>
      <c r="O660" s="100">
        <v>45</v>
      </c>
      <c r="P660" s="100">
        <v>66</v>
      </c>
      <c r="Q660" s="100">
        <v>25</v>
      </c>
      <c r="S660" s="105">
        <v>44830</v>
      </c>
      <c r="T660" s="106">
        <f t="shared" si="9"/>
        <v>-5.492</v>
      </c>
    </row>
    <row r="661" spans="3:20">
      <c r="C661" s="105">
        <v>44827</v>
      </c>
      <c r="D661" s="106">
        <v>8.561</v>
      </c>
      <c r="E661" s="100">
        <v>12.482</v>
      </c>
      <c r="F661" s="100">
        <v>-31</v>
      </c>
      <c r="G661" s="100">
        <v>-19</v>
      </c>
      <c r="H661" s="100">
        <v>1</v>
      </c>
      <c r="I661" s="100">
        <v>-39</v>
      </c>
      <c r="K661" s="105">
        <v>44827</v>
      </c>
      <c r="L661" s="100">
        <v>21.951</v>
      </c>
      <c r="M661" s="106">
        <v>13.835</v>
      </c>
      <c r="N661" s="100">
        <v>59</v>
      </c>
      <c r="O661" s="100">
        <v>45</v>
      </c>
      <c r="P661" s="100">
        <v>66</v>
      </c>
      <c r="Q661" s="100">
        <v>25</v>
      </c>
      <c r="S661" s="105">
        <v>44827</v>
      </c>
      <c r="T661" s="106">
        <f t="shared" si="9"/>
        <v>-5.274</v>
      </c>
    </row>
    <row r="662" spans="3:20">
      <c r="C662" s="105">
        <v>44826</v>
      </c>
      <c r="D662" s="106">
        <v>9.17</v>
      </c>
      <c r="E662" s="100">
        <v>13.023</v>
      </c>
      <c r="F662" s="100">
        <v>-30</v>
      </c>
      <c r="G662" s="100">
        <v>-19</v>
      </c>
      <c r="H662" s="100">
        <v>1</v>
      </c>
      <c r="I662" s="100">
        <v>-39</v>
      </c>
      <c r="K662" s="105">
        <v>44826</v>
      </c>
      <c r="L662" s="100">
        <v>21.957</v>
      </c>
      <c r="M662" s="106">
        <v>14.299</v>
      </c>
      <c r="N662" s="100">
        <v>54</v>
      </c>
      <c r="O662" s="100">
        <v>45</v>
      </c>
      <c r="P662" s="100">
        <v>66</v>
      </c>
      <c r="Q662" s="100">
        <v>25</v>
      </c>
      <c r="S662" s="105">
        <v>44826</v>
      </c>
      <c r="T662" s="106">
        <f t="shared" ref="T662:T725" si="10">D662-M662</f>
        <v>-5.129</v>
      </c>
    </row>
    <row r="663" spans="3:20">
      <c r="C663" s="105">
        <v>44825</v>
      </c>
      <c r="D663" s="106">
        <v>10.04</v>
      </c>
      <c r="E663" s="100">
        <v>13.24</v>
      </c>
      <c r="F663" s="100">
        <v>-24</v>
      </c>
      <c r="G663" s="100">
        <v>-19</v>
      </c>
      <c r="H663" s="100">
        <v>1</v>
      </c>
      <c r="I663" s="100">
        <v>-39</v>
      </c>
      <c r="K663" s="105">
        <v>44825</v>
      </c>
      <c r="L663" s="100">
        <v>22.73</v>
      </c>
      <c r="M663" s="106">
        <v>14.596</v>
      </c>
      <c r="N663" s="100">
        <v>56</v>
      </c>
      <c r="O663" s="100">
        <v>45</v>
      </c>
      <c r="P663" s="100">
        <v>66</v>
      </c>
      <c r="Q663" s="100">
        <v>25</v>
      </c>
      <c r="S663" s="105">
        <v>44825</v>
      </c>
      <c r="T663" s="106">
        <f t="shared" si="10"/>
        <v>-4.556</v>
      </c>
    </row>
    <row r="664" spans="3:20">
      <c r="C664" s="105">
        <v>44824</v>
      </c>
      <c r="D664" s="106">
        <v>9.962</v>
      </c>
      <c r="E664" s="100">
        <v>13.164</v>
      </c>
      <c r="F664" s="100">
        <v>-24</v>
      </c>
      <c r="G664" s="100">
        <v>-19</v>
      </c>
      <c r="H664" s="100">
        <v>1</v>
      </c>
      <c r="I664" s="100">
        <v>-39</v>
      </c>
      <c r="K664" s="105">
        <v>44824</v>
      </c>
      <c r="L664" s="100">
        <v>22.209</v>
      </c>
      <c r="M664" s="106">
        <v>14.456</v>
      </c>
      <c r="N664" s="100">
        <v>54</v>
      </c>
      <c r="O664" s="100">
        <v>45</v>
      </c>
      <c r="P664" s="100">
        <v>66</v>
      </c>
      <c r="Q664" s="100">
        <v>25</v>
      </c>
      <c r="S664" s="105">
        <v>44824</v>
      </c>
      <c r="T664" s="106">
        <f t="shared" si="10"/>
        <v>-4.494</v>
      </c>
    </row>
    <row r="665" spans="3:20">
      <c r="C665" s="105">
        <v>44820</v>
      </c>
      <c r="D665" s="106">
        <v>10.105</v>
      </c>
      <c r="E665" s="100">
        <v>13.352</v>
      </c>
      <c r="F665" s="100">
        <v>-24</v>
      </c>
      <c r="G665" s="100">
        <v>-19</v>
      </c>
      <c r="H665" s="100">
        <v>1</v>
      </c>
      <c r="I665" s="100">
        <v>-39</v>
      </c>
      <c r="K665" s="105">
        <v>44820</v>
      </c>
      <c r="L665" s="100">
        <v>22.833</v>
      </c>
      <c r="M665" s="106">
        <v>14.706</v>
      </c>
      <c r="N665" s="100">
        <v>55</v>
      </c>
      <c r="O665" s="100">
        <v>45</v>
      </c>
      <c r="P665" s="100">
        <v>66</v>
      </c>
      <c r="Q665" s="100">
        <v>25</v>
      </c>
      <c r="S665" s="105">
        <v>44820</v>
      </c>
      <c r="T665" s="106">
        <f t="shared" si="10"/>
        <v>-4.601</v>
      </c>
    </row>
    <row r="666" spans="3:20">
      <c r="C666" s="105">
        <v>44819</v>
      </c>
      <c r="D666" s="106">
        <v>10.339</v>
      </c>
      <c r="E666" s="100">
        <v>13.492</v>
      </c>
      <c r="F666" s="100">
        <v>-23</v>
      </c>
      <c r="G666" s="100">
        <v>-19</v>
      </c>
      <c r="H666" s="100">
        <v>1</v>
      </c>
      <c r="I666" s="100">
        <v>-39</v>
      </c>
      <c r="K666" s="105">
        <v>44819</v>
      </c>
      <c r="L666" s="100">
        <v>22.886</v>
      </c>
      <c r="M666" s="106">
        <v>14.834</v>
      </c>
      <c r="N666" s="100">
        <v>54</v>
      </c>
      <c r="O666" s="100">
        <v>45</v>
      </c>
      <c r="P666" s="100">
        <v>66</v>
      </c>
      <c r="Q666" s="100">
        <v>25</v>
      </c>
      <c r="S666" s="105">
        <v>44819</v>
      </c>
      <c r="T666" s="106">
        <f t="shared" si="10"/>
        <v>-4.495</v>
      </c>
    </row>
    <row r="667" spans="3:20">
      <c r="C667" s="105">
        <v>44818</v>
      </c>
      <c r="D667" s="106">
        <v>10.153</v>
      </c>
      <c r="E667" s="100">
        <v>13.685</v>
      </c>
      <c r="F667" s="100">
        <v>-26</v>
      </c>
      <c r="G667" s="100">
        <v>-19</v>
      </c>
      <c r="H667" s="100">
        <v>1</v>
      </c>
      <c r="I667" s="100">
        <v>-39</v>
      </c>
      <c r="K667" s="105">
        <v>44818</v>
      </c>
      <c r="L667" s="100">
        <v>23.379</v>
      </c>
      <c r="M667" s="106">
        <v>15.07</v>
      </c>
      <c r="N667" s="100">
        <v>55</v>
      </c>
      <c r="O667" s="100">
        <v>45</v>
      </c>
      <c r="P667" s="100">
        <v>66</v>
      </c>
      <c r="Q667" s="100">
        <v>25</v>
      </c>
      <c r="S667" s="105">
        <v>44818</v>
      </c>
      <c r="T667" s="106">
        <f t="shared" si="10"/>
        <v>-4.917</v>
      </c>
    </row>
    <row r="668" spans="3:20">
      <c r="C668" s="105">
        <v>44817</v>
      </c>
      <c r="D668" s="106">
        <v>10.258</v>
      </c>
      <c r="E668" s="100">
        <v>13.604</v>
      </c>
      <c r="F668" s="100">
        <v>-25</v>
      </c>
      <c r="G668" s="100">
        <v>-19</v>
      </c>
      <c r="H668" s="100">
        <v>1</v>
      </c>
      <c r="I668" s="100">
        <v>-39</v>
      </c>
      <c r="K668" s="105">
        <v>44817</v>
      </c>
      <c r="L668" s="100">
        <v>23.695</v>
      </c>
      <c r="M668" s="106">
        <v>15.045</v>
      </c>
      <c r="N668" s="100">
        <v>57</v>
      </c>
      <c r="O668" s="100">
        <v>45</v>
      </c>
      <c r="P668" s="100">
        <v>66</v>
      </c>
      <c r="Q668" s="100">
        <v>25</v>
      </c>
      <c r="S668" s="105">
        <v>44817</v>
      </c>
      <c r="T668" s="106">
        <f t="shared" si="10"/>
        <v>-4.787</v>
      </c>
    </row>
    <row r="669" spans="3:20">
      <c r="C669" s="105">
        <v>44816</v>
      </c>
      <c r="D669" s="106">
        <v>10.605</v>
      </c>
      <c r="E669" s="100">
        <v>13.996</v>
      </c>
      <c r="F669" s="100">
        <v>-24</v>
      </c>
      <c r="G669" s="100">
        <v>-19</v>
      </c>
      <c r="H669" s="100">
        <v>1</v>
      </c>
      <c r="I669" s="100">
        <v>-39</v>
      </c>
      <c r="K669" s="105">
        <v>44816</v>
      </c>
      <c r="L669" s="100">
        <v>23.983</v>
      </c>
      <c r="M669" s="106">
        <v>15.423</v>
      </c>
      <c r="N669" s="100">
        <v>56</v>
      </c>
      <c r="O669" s="100">
        <v>45</v>
      </c>
      <c r="P669" s="100">
        <v>66</v>
      </c>
      <c r="Q669" s="100">
        <v>25</v>
      </c>
      <c r="S669" s="105">
        <v>44816</v>
      </c>
      <c r="T669" s="106">
        <f t="shared" si="10"/>
        <v>-4.818</v>
      </c>
    </row>
    <row r="670" spans="3:20">
      <c r="C670" s="105">
        <v>44813</v>
      </c>
      <c r="D670" s="106">
        <v>10.169</v>
      </c>
      <c r="E670" s="100">
        <v>13.464</v>
      </c>
      <c r="F670" s="100">
        <v>-24</v>
      </c>
      <c r="G670" s="100">
        <v>-19</v>
      </c>
      <c r="H670" s="100">
        <v>1</v>
      </c>
      <c r="I670" s="100">
        <v>-39</v>
      </c>
      <c r="K670" s="105">
        <v>44813</v>
      </c>
      <c r="L670" s="100">
        <v>23.716</v>
      </c>
      <c r="M670" s="106">
        <v>14.929</v>
      </c>
      <c r="N670" s="100">
        <v>59</v>
      </c>
      <c r="O670" s="100">
        <v>45</v>
      </c>
      <c r="P670" s="100">
        <v>66</v>
      </c>
      <c r="Q670" s="100">
        <v>25</v>
      </c>
      <c r="S670" s="105">
        <v>44813</v>
      </c>
      <c r="T670" s="106">
        <f t="shared" si="10"/>
        <v>-4.76</v>
      </c>
    </row>
    <row r="671" spans="3:20">
      <c r="C671" s="105">
        <v>44812</v>
      </c>
      <c r="D671" s="106">
        <v>10.14</v>
      </c>
      <c r="E671" s="100">
        <v>13.283</v>
      </c>
      <c r="F671" s="100">
        <v>-24</v>
      </c>
      <c r="G671" s="100">
        <v>-19</v>
      </c>
      <c r="H671" s="100">
        <v>1</v>
      </c>
      <c r="I671" s="100">
        <v>-39</v>
      </c>
      <c r="K671" s="105">
        <v>44812</v>
      </c>
      <c r="L671" s="100">
        <v>23.65</v>
      </c>
      <c r="M671" s="106">
        <v>14.764</v>
      </c>
      <c r="N671" s="100">
        <v>60</v>
      </c>
      <c r="O671" s="100">
        <v>45</v>
      </c>
      <c r="P671" s="100">
        <v>66</v>
      </c>
      <c r="Q671" s="100">
        <v>25</v>
      </c>
      <c r="S671" s="105">
        <v>44812</v>
      </c>
      <c r="T671" s="106">
        <f t="shared" si="10"/>
        <v>-4.624</v>
      </c>
    </row>
    <row r="672" spans="3:20">
      <c r="C672" s="105">
        <v>44811</v>
      </c>
      <c r="D672" s="106">
        <v>9.948</v>
      </c>
      <c r="E672" s="100">
        <v>13.418</v>
      </c>
      <c r="F672" s="100">
        <v>-26</v>
      </c>
      <c r="G672" s="100">
        <v>-19</v>
      </c>
      <c r="H672" s="100">
        <v>1</v>
      </c>
      <c r="I672" s="100">
        <v>-39</v>
      </c>
      <c r="K672" s="105">
        <v>44811</v>
      </c>
      <c r="L672" s="100">
        <v>23.482</v>
      </c>
      <c r="M672" s="106">
        <v>14.856</v>
      </c>
      <c r="N672" s="100">
        <v>58</v>
      </c>
      <c r="O672" s="100">
        <v>45</v>
      </c>
      <c r="P672" s="100">
        <v>66</v>
      </c>
      <c r="Q672" s="100">
        <v>25</v>
      </c>
      <c r="S672" s="105">
        <v>44811</v>
      </c>
      <c r="T672" s="106">
        <f t="shared" si="10"/>
        <v>-4.908</v>
      </c>
    </row>
    <row r="673" spans="3:20">
      <c r="C673" s="105">
        <v>44810</v>
      </c>
      <c r="D673" s="106">
        <v>10.153</v>
      </c>
      <c r="E673" s="100">
        <v>13.502</v>
      </c>
      <c r="F673" s="100">
        <v>-25</v>
      </c>
      <c r="G673" s="100">
        <v>-19</v>
      </c>
      <c r="H673" s="100">
        <v>1</v>
      </c>
      <c r="I673" s="100">
        <v>-39</v>
      </c>
      <c r="K673" s="105">
        <v>44810</v>
      </c>
      <c r="L673" s="100">
        <v>23.562</v>
      </c>
      <c r="M673" s="106">
        <v>14.939</v>
      </c>
      <c r="N673" s="100">
        <v>58</v>
      </c>
      <c r="O673" s="100">
        <v>45</v>
      </c>
      <c r="P673" s="100">
        <v>66</v>
      </c>
      <c r="Q673" s="100">
        <v>25</v>
      </c>
      <c r="S673" s="105">
        <v>44810</v>
      </c>
      <c r="T673" s="106">
        <f t="shared" si="10"/>
        <v>-4.786</v>
      </c>
    </row>
    <row r="674" spans="3:20">
      <c r="C674" s="105">
        <v>44809</v>
      </c>
      <c r="D674" s="106">
        <v>9.856</v>
      </c>
      <c r="E674" s="100">
        <v>13.329</v>
      </c>
      <c r="F674" s="100">
        <v>-26</v>
      </c>
      <c r="G674" s="100">
        <v>-19</v>
      </c>
      <c r="H674" s="100">
        <v>1</v>
      </c>
      <c r="I674" s="100">
        <v>-39</v>
      </c>
      <c r="K674" s="105">
        <v>44809</v>
      </c>
      <c r="L674" s="100">
        <v>23.555</v>
      </c>
      <c r="M674" s="106">
        <v>14.79</v>
      </c>
      <c r="N674" s="100">
        <v>59</v>
      </c>
      <c r="O674" s="100">
        <v>45</v>
      </c>
      <c r="P674" s="100">
        <v>66</v>
      </c>
      <c r="Q674" s="100">
        <v>25</v>
      </c>
      <c r="S674" s="105">
        <v>44809</v>
      </c>
      <c r="T674" s="106">
        <f t="shared" si="10"/>
        <v>-4.934</v>
      </c>
    </row>
    <row r="675" spans="3:20">
      <c r="C675" s="105">
        <v>44806</v>
      </c>
      <c r="D675" s="106">
        <v>9.582</v>
      </c>
      <c r="E675" s="100">
        <v>13.252</v>
      </c>
      <c r="F675" s="100">
        <v>-28</v>
      </c>
      <c r="G675" s="100">
        <v>-19</v>
      </c>
      <c r="H675" s="100">
        <v>1</v>
      </c>
      <c r="I675" s="100">
        <v>-39</v>
      </c>
      <c r="K675" s="105">
        <v>44806</v>
      </c>
      <c r="L675" s="100">
        <v>23.715</v>
      </c>
      <c r="M675" s="106">
        <v>14.746</v>
      </c>
      <c r="N675" s="100">
        <v>61</v>
      </c>
      <c r="O675" s="100">
        <v>45</v>
      </c>
      <c r="P675" s="100">
        <v>66</v>
      </c>
      <c r="Q675" s="100">
        <v>25</v>
      </c>
      <c r="S675" s="105">
        <v>44806</v>
      </c>
      <c r="T675" s="106">
        <f t="shared" si="10"/>
        <v>-5.164</v>
      </c>
    </row>
    <row r="676" spans="3:20">
      <c r="C676" s="105">
        <v>44805</v>
      </c>
      <c r="D676" s="106">
        <v>9.139</v>
      </c>
      <c r="E676" s="100">
        <v>13.106</v>
      </c>
      <c r="F676" s="100">
        <v>-30</v>
      </c>
      <c r="G676" s="100">
        <v>-19</v>
      </c>
      <c r="H676" s="100">
        <v>1</v>
      </c>
      <c r="I676" s="100">
        <v>-39</v>
      </c>
      <c r="K676" s="105">
        <v>44805</v>
      </c>
      <c r="L676" s="100">
        <v>23.49</v>
      </c>
      <c r="M676" s="106">
        <v>14.59</v>
      </c>
      <c r="N676" s="100">
        <v>61</v>
      </c>
      <c r="O676" s="100">
        <v>45</v>
      </c>
      <c r="P676" s="100">
        <v>66</v>
      </c>
      <c r="Q676" s="100">
        <v>25</v>
      </c>
      <c r="S676" s="105">
        <v>44805</v>
      </c>
      <c r="T676" s="106">
        <f t="shared" si="10"/>
        <v>-5.451</v>
      </c>
    </row>
    <row r="677" spans="3:20">
      <c r="C677" s="105">
        <v>44804</v>
      </c>
      <c r="D677" s="106">
        <v>9.024</v>
      </c>
      <c r="E677" s="100">
        <v>13.17</v>
      </c>
      <c r="F677" s="100">
        <v>-31</v>
      </c>
      <c r="G677" s="100">
        <v>-19</v>
      </c>
      <c r="H677" s="100">
        <v>1</v>
      </c>
      <c r="I677" s="100">
        <v>-39</v>
      </c>
      <c r="K677" s="105">
        <v>44804</v>
      </c>
      <c r="L677" s="100">
        <v>23.989</v>
      </c>
      <c r="M677" s="106">
        <v>14.715</v>
      </c>
      <c r="N677" s="100">
        <v>63</v>
      </c>
      <c r="O677" s="100">
        <v>45</v>
      </c>
      <c r="P677" s="100">
        <v>66</v>
      </c>
      <c r="Q677" s="100">
        <v>25</v>
      </c>
      <c r="S677" s="105">
        <v>44804</v>
      </c>
      <c r="T677" s="106">
        <f t="shared" si="10"/>
        <v>-5.691</v>
      </c>
    </row>
    <row r="678" spans="3:20">
      <c r="C678" s="105">
        <v>44803</v>
      </c>
      <c r="D678" s="106">
        <v>8.973</v>
      </c>
      <c r="E678" s="100">
        <v>13.249</v>
      </c>
      <c r="F678" s="100">
        <v>-32</v>
      </c>
      <c r="G678" s="100">
        <v>-19</v>
      </c>
      <c r="H678" s="100">
        <v>1</v>
      </c>
      <c r="I678" s="100">
        <v>-39</v>
      </c>
      <c r="K678" s="105">
        <v>44803</v>
      </c>
      <c r="L678" s="100">
        <v>24.218</v>
      </c>
      <c r="M678" s="106">
        <v>14.816</v>
      </c>
      <c r="N678" s="100">
        <v>63</v>
      </c>
      <c r="O678" s="100">
        <v>45</v>
      </c>
      <c r="P678" s="100">
        <v>66</v>
      </c>
      <c r="Q678" s="100">
        <v>25</v>
      </c>
      <c r="S678" s="105">
        <v>44803</v>
      </c>
      <c r="T678" s="106">
        <f t="shared" si="10"/>
        <v>-5.843</v>
      </c>
    </row>
    <row r="679" spans="3:20">
      <c r="C679" s="105">
        <v>44799</v>
      </c>
      <c r="D679" s="106">
        <v>8.723</v>
      </c>
      <c r="E679" s="100">
        <v>13.184</v>
      </c>
      <c r="F679" s="100">
        <v>-34</v>
      </c>
      <c r="G679" s="100">
        <v>-19</v>
      </c>
      <c r="H679" s="100">
        <v>1</v>
      </c>
      <c r="I679" s="100">
        <v>-39</v>
      </c>
      <c r="K679" s="105">
        <v>44799</v>
      </c>
      <c r="L679" s="100">
        <v>24.514</v>
      </c>
      <c r="M679" s="106">
        <v>14.802</v>
      </c>
      <c r="N679" s="100">
        <v>66</v>
      </c>
      <c r="O679" s="100">
        <v>45</v>
      </c>
      <c r="P679" s="100">
        <v>66</v>
      </c>
      <c r="Q679" s="100">
        <v>25</v>
      </c>
      <c r="S679" s="105">
        <v>44799</v>
      </c>
      <c r="T679" s="106">
        <f t="shared" si="10"/>
        <v>-6.079</v>
      </c>
    </row>
    <row r="680" spans="3:20">
      <c r="C680" s="105">
        <v>44798</v>
      </c>
      <c r="D680" s="106">
        <v>9.061</v>
      </c>
      <c r="E680" s="100">
        <v>13.671</v>
      </c>
      <c r="F680" s="100">
        <v>-34</v>
      </c>
      <c r="G680" s="100">
        <v>-19</v>
      </c>
      <c r="H680" s="100">
        <v>1</v>
      </c>
      <c r="I680" s="100">
        <v>-39</v>
      </c>
      <c r="K680" s="105">
        <v>44798</v>
      </c>
      <c r="L680" s="100">
        <v>24.942</v>
      </c>
      <c r="M680" s="106">
        <v>15.282</v>
      </c>
      <c r="N680" s="100">
        <v>63</v>
      </c>
      <c r="O680" s="100">
        <v>45</v>
      </c>
      <c r="P680" s="100">
        <v>66</v>
      </c>
      <c r="Q680" s="100">
        <v>25</v>
      </c>
      <c r="S680" s="105">
        <v>44798</v>
      </c>
      <c r="T680" s="106">
        <f t="shared" si="10"/>
        <v>-6.221</v>
      </c>
    </row>
    <row r="681" spans="3:20">
      <c r="C681" s="105">
        <v>44797</v>
      </c>
      <c r="D681" s="106">
        <v>9.281</v>
      </c>
      <c r="E681" s="100">
        <v>13.848</v>
      </c>
      <c r="F681" s="100">
        <v>-33</v>
      </c>
      <c r="G681" s="100">
        <v>-19</v>
      </c>
      <c r="H681" s="100">
        <v>1</v>
      </c>
      <c r="I681" s="100">
        <v>-39</v>
      </c>
      <c r="K681" s="105">
        <v>44797</v>
      </c>
      <c r="L681" s="100">
        <v>24.922</v>
      </c>
      <c r="M681" s="106">
        <v>15.43</v>
      </c>
      <c r="N681" s="100">
        <v>62</v>
      </c>
      <c r="O681" s="100">
        <v>45</v>
      </c>
      <c r="P681" s="100">
        <v>66</v>
      </c>
      <c r="Q681" s="100">
        <v>25</v>
      </c>
      <c r="S681" s="105">
        <v>44797</v>
      </c>
      <c r="T681" s="106">
        <f t="shared" si="10"/>
        <v>-6.149</v>
      </c>
    </row>
    <row r="682" spans="3:20">
      <c r="C682" s="105">
        <v>44796</v>
      </c>
      <c r="D682" s="106">
        <v>9.214</v>
      </c>
      <c r="E682" s="100">
        <v>13.84</v>
      </c>
      <c r="F682" s="100">
        <v>-33</v>
      </c>
      <c r="G682" s="100">
        <v>-19</v>
      </c>
      <c r="H682" s="100">
        <v>1</v>
      </c>
      <c r="I682" s="100">
        <v>-39</v>
      </c>
      <c r="K682" s="105">
        <v>44796</v>
      </c>
      <c r="L682" s="100">
        <v>24.737</v>
      </c>
      <c r="M682" s="106">
        <v>15.397</v>
      </c>
      <c r="N682" s="100">
        <v>61</v>
      </c>
      <c r="O682" s="100">
        <v>45</v>
      </c>
      <c r="P682" s="100">
        <v>66</v>
      </c>
      <c r="Q682" s="100">
        <v>25</v>
      </c>
      <c r="S682" s="105">
        <v>44796</v>
      </c>
      <c r="T682" s="106">
        <f t="shared" si="10"/>
        <v>-6.183</v>
      </c>
    </row>
    <row r="683" spans="3:20">
      <c r="C683" s="105">
        <v>44795</v>
      </c>
      <c r="D683" s="106">
        <v>9.485</v>
      </c>
      <c r="E683" s="100">
        <v>14.038</v>
      </c>
      <c r="F683" s="100">
        <v>-32</v>
      </c>
      <c r="G683" s="100">
        <v>-19</v>
      </c>
      <c r="H683" s="100">
        <v>1</v>
      </c>
      <c r="I683" s="100">
        <v>-39</v>
      </c>
      <c r="K683" s="105">
        <v>44795</v>
      </c>
      <c r="L683" s="100">
        <v>25.483</v>
      </c>
      <c r="M683" s="106">
        <v>15.673</v>
      </c>
      <c r="N683" s="100">
        <v>63</v>
      </c>
      <c r="O683" s="100">
        <v>45</v>
      </c>
      <c r="P683" s="100">
        <v>66</v>
      </c>
      <c r="Q683" s="100">
        <v>25</v>
      </c>
      <c r="S683" s="105">
        <v>44795</v>
      </c>
      <c r="T683" s="106">
        <f t="shared" si="10"/>
        <v>-6.188</v>
      </c>
    </row>
    <row r="684" spans="3:20">
      <c r="C684" s="105">
        <v>44792</v>
      </c>
      <c r="D684" s="106">
        <v>9.873</v>
      </c>
      <c r="E684" s="100">
        <v>14.43</v>
      </c>
      <c r="F684" s="100">
        <v>-32</v>
      </c>
      <c r="G684" s="100">
        <v>-19</v>
      </c>
      <c r="H684" s="100">
        <v>1</v>
      </c>
      <c r="I684" s="100">
        <v>-39</v>
      </c>
      <c r="K684" s="105">
        <v>44792</v>
      </c>
      <c r="L684" s="100">
        <v>25.432</v>
      </c>
      <c r="M684" s="106">
        <v>16.002</v>
      </c>
      <c r="N684" s="100">
        <v>59</v>
      </c>
      <c r="O684" s="100">
        <v>45</v>
      </c>
      <c r="P684" s="100">
        <v>66</v>
      </c>
      <c r="Q684" s="100">
        <v>25</v>
      </c>
      <c r="S684" s="105">
        <v>44792</v>
      </c>
      <c r="T684" s="106">
        <f t="shared" si="10"/>
        <v>-6.129</v>
      </c>
    </row>
    <row r="685" spans="3:20">
      <c r="C685" s="105">
        <v>44791</v>
      </c>
      <c r="D685" s="106">
        <v>9.917</v>
      </c>
      <c r="E685" s="100">
        <v>14.619</v>
      </c>
      <c r="F685" s="100">
        <v>-32</v>
      </c>
      <c r="G685" s="100">
        <v>-19</v>
      </c>
      <c r="H685" s="100">
        <v>1</v>
      </c>
      <c r="I685" s="100">
        <v>-39</v>
      </c>
      <c r="K685" s="105">
        <v>44791</v>
      </c>
      <c r="L685" s="100">
        <v>25.355</v>
      </c>
      <c r="M685" s="106">
        <v>16.153</v>
      </c>
      <c r="N685" s="100">
        <v>57</v>
      </c>
      <c r="O685" s="100">
        <v>45</v>
      </c>
      <c r="P685" s="100">
        <v>66</v>
      </c>
      <c r="Q685" s="100">
        <v>25</v>
      </c>
      <c r="S685" s="105">
        <v>44791</v>
      </c>
      <c r="T685" s="106">
        <f t="shared" si="10"/>
        <v>-6.236</v>
      </c>
    </row>
    <row r="686" spans="3:20">
      <c r="C686" s="105">
        <v>44790</v>
      </c>
      <c r="D686" s="106">
        <v>10.204</v>
      </c>
      <c r="E686" s="100">
        <v>14.797</v>
      </c>
      <c r="F686" s="100">
        <v>-31</v>
      </c>
      <c r="G686" s="100">
        <v>-19</v>
      </c>
      <c r="H686" s="100">
        <v>1</v>
      </c>
      <c r="I686" s="100">
        <v>-39</v>
      </c>
      <c r="K686" s="105">
        <v>44790</v>
      </c>
      <c r="L686" s="100">
        <v>25.155</v>
      </c>
      <c r="M686" s="106">
        <v>16.277</v>
      </c>
      <c r="N686" s="100">
        <v>55</v>
      </c>
      <c r="O686" s="100">
        <v>45</v>
      </c>
      <c r="P686" s="100">
        <v>66</v>
      </c>
      <c r="Q686" s="100">
        <v>25</v>
      </c>
      <c r="S686" s="105">
        <v>44790</v>
      </c>
      <c r="T686" s="106">
        <f t="shared" si="10"/>
        <v>-6.073</v>
      </c>
    </row>
    <row r="687" spans="3:20">
      <c r="C687" s="105">
        <v>44789</v>
      </c>
      <c r="D687" s="106">
        <v>10.349</v>
      </c>
      <c r="E687" s="100">
        <v>14.887</v>
      </c>
      <c r="F687" s="100">
        <v>-30</v>
      </c>
      <c r="G687" s="100">
        <v>-19</v>
      </c>
      <c r="H687" s="100">
        <v>1</v>
      </c>
      <c r="I687" s="100">
        <v>-39</v>
      </c>
      <c r="K687" s="105">
        <v>44789</v>
      </c>
      <c r="L687" s="100">
        <v>24.98</v>
      </c>
      <c r="M687" s="106">
        <v>16.328</v>
      </c>
      <c r="N687" s="100">
        <v>53</v>
      </c>
      <c r="O687" s="100">
        <v>45</v>
      </c>
      <c r="P687" s="100">
        <v>66</v>
      </c>
      <c r="Q687" s="100">
        <v>25</v>
      </c>
      <c r="S687" s="105">
        <v>44789</v>
      </c>
      <c r="T687" s="106">
        <f t="shared" si="10"/>
        <v>-5.979</v>
      </c>
    </row>
    <row r="688" spans="3:20">
      <c r="C688" s="105">
        <v>44788</v>
      </c>
      <c r="D688" s="106">
        <v>10.29</v>
      </c>
      <c r="E688" s="100">
        <v>14.78</v>
      </c>
      <c r="F688" s="100">
        <v>-30</v>
      </c>
      <c r="G688" s="100">
        <v>-19</v>
      </c>
      <c r="H688" s="100">
        <v>1</v>
      </c>
      <c r="I688" s="100">
        <v>-39</v>
      </c>
      <c r="K688" s="105">
        <v>44788</v>
      </c>
      <c r="L688" s="100">
        <v>25.193</v>
      </c>
      <c r="M688" s="106">
        <v>16.268</v>
      </c>
      <c r="N688" s="100">
        <v>55</v>
      </c>
      <c r="O688" s="100">
        <v>45</v>
      </c>
      <c r="P688" s="100">
        <v>66</v>
      </c>
      <c r="Q688" s="100">
        <v>25</v>
      </c>
      <c r="S688" s="105">
        <v>44788</v>
      </c>
      <c r="T688" s="106">
        <f t="shared" si="10"/>
        <v>-5.978</v>
      </c>
    </row>
    <row r="689" spans="3:20">
      <c r="C689" s="105">
        <v>44785</v>
      </c>
      <c r="D689" s="106">
        <v>10.279</v>
      </c>
      <c r="E689" s="100">
        <v>14.747</v>
      </c>
      <c r="F689" s="100">
        <v>-30</v>
      </c>
      <c r="G689" s="100">
        <v>-19</v>
      </c>
      <c r="H689" s="100">
        <v>1</v>
      </c>
      <c r="I689" s="100">
        <v>-39</v>
      </c>
      <c r="K689" s="105">
        <v>44785</v>
      </c>
      <c r="L689" s="100">
        <v>24.402</v>
      </c>
      <c r="M689" s="106">
        <v>16.126</v>
      </c>
      <c r="N689" s="100">
        <v>51</v>
      </c>
      <c r="O689" s="100">
        <v>45</v>
      </c>
      <c r="P689" s="100">
        <v>66</v>
      </c>
      <c r="Q689" s="100">
        <v>25</v>
      </c>
      <c r="S689" s="105">
        <v>44785</v>
      </c>
      <c r="T689" s="106">
        <f t="shared" si="10"/>
        <v>-5.847</v>
      </c>
    </row>
    <row r="690" spans="3:20">
      <c r="C690" s="105">
        <v>44784</v>
      </c>
      <c r="D690" s="106">
        <v>10.475</v>
      </c>
      <c r="E690" s="100">
        <v>14.783</v>
      </c>
      <c r="F690" s="100">
        <v>-29</v>
      </c>
      <c r="G690" s="100">
        <v>-19</v>
      </c>
      <c r="H690" s="100">
        <v>1</v>
      </c>
      <c r="I690" s="100">
        <v>-39</v>
      </c>
      <c r="K690" s="105">
        <v>44784</v>
      </c>
      <c r="L690" s="100">
        <v>24.812</v>
      </c>
      <c r="M690" s="106">
        <v>16.216</v>
      </c>
      <c r="N690" s="100">
        <v>53</v>
      </c>
      <c r="O690" s="100">
        <v>45</v>
      </c>
      <c r="P690" s="100">
        <v>66</v>
      </c>
      <c r="Q690" s="100">
        <v>25</v>
      </c>
      <c r="S690" s="105">
        <v>44784</v>
      </c>
      <c r="T690" s="106">
        <f t="shared" si="10"/>
        <v>-5.741</v>
      </c>
    </row>
    <row r="691" spans="3:20">
      <c r="C691" s="105">
        <v>44783</v>
      </c>
      <c r="D691" s="106">
        <v>10.567</v>
      </c>
      <c r="E691" s="100">
        <v>14.884</v>
      </c>
      <c r="F691" s="100">
        <v>-29</v>
      </c>
      <c r="G691" s="100">
        <v>-19</v>
      </c>
      <c r="H691" s="100">
        <v>1</v>
      </c>
      <c r="I691" s="100">
        <v>-39</v>
      </c>
      <c r="K691" s="105">
        <v>44783</v>
      </c>
      <c r="L691" s="100">
        <v>24.757</v>
      </c>
      <c r="M691" s="106">
        <v>16.294</v>
      </c>
      <c r="N691" s="100">
        <v>52</v>
      </c>
      <c r="O691" s="100">
        <v>45</v>
      </c>
      <c r="P691" s="100">
        <v>66</v>
      </c>
      <c r="Q691" s="100">
        <v>25</v>
      </c>
      <c r="S691" s="105">
        <v>44783</v>
      </c>
      <c r="T691" s="106">
        <f t="shared" si="10"/>
        <v>-5.727</v>
      </c>
    </row>
    <row r="692" spans="3:20">
      <c r="C692" s="105">
        <v>44782</v>
      </c>
      <c r="D692" s="106">
        <v>10.091</v>
      </c>
      <c r="E692" s="100">
        <v>14.526</v>
      </c>
      <c r="F692" s="100">
        <v>-31</v>
      </c>
      <c r="G692" s="100">
        <v>-19</v>
      </c>
      <c r="H692" s="100">
        <v>1</v>
      </c>
      <c r="I692" s="100">
        <v>-39</v>
      </c>
      <c r="K692" s="105">
        <v>44782</v>
      </c>
      <c r="L692" s="100">
        <v>24.923</v>
      </c>
      <c r="M692" s="106">
        <v>16.011</v>
      </c>
      <c r="N692" s="100">
        <v>56</v>
      </c>
      <c r="O692" s="100">
        <v>45</v>
      </c>
      <c r="P692" s="100">
        <v>66</v>
      </c>
      <c r="Q692" s="100">
        <v>25</v>
      </c>
      <c r="S692" s="105">
        <v>44782</v>
      </c>
      <c r="T692" s="106">
        <f t="shared" si="10"/>
        <v>-5.92</v>
      </c>
    </row>
    <row r="693" spans="3:20">
      <c r="C693" s="105">
        <v>44781</v>
      </c>
      <c r="D693" s="106">
        <v>10.637</v>
      </c>
      <c r="E693" s="100">
        <v>14.879</v>
      </c>
      <c r="F693" s="100">
        <v>-29</v>
      </c>
      <c r="G693" s="100">
        <v>-19</v>
      </c>
      <c r="H693" s="100">
        <v>1</v>
      </c>
      <c r="I693" s="100">
        <v>-39</v>
      </c>
      <c r="K693" s="105">
        <v>44781</v>
      </c>
      <c r="L693" s="100">
        <v>24.913</v>
      </c>
      <c r="M693" s="106">
        <v>16.312</v>
      </c>
      <c r="N693" s="100">
        <v>53</v>
      </c>
      <c r="O693" s="100">
        <v>45</v>
      </c>
      <c r="P693" s="100">
        <v>66</v>
      </c>
      <c r="Q693" s="100">
        <v>25</v>
      </c>
      <c r="S693" s="105">
        <v>44781</v>
      </c>
      <c r="T693" s="106">
        <f t="shared" si="10"/>
        <v>-5.675</v>
      </c>
    </row>
    <row r="694" spans="3:20">
      <c r="C694" s="105">
        <v>44778</v>
      </c>
      <c r="D694" s="106">
        <v>10.368</v>
      </c>
      <c r="E694" s="100">
        <v>14.569</v>
      </c>
      <c r="F694" s="100">
        <v>-29</v>
      </c>
      <c r="G694" s="100">
        <v>-19</v>
      </c>
      <c r="H694" s="100">
        <v>1</v>
      </c>
      <c r="I694" s="100">
        <v>-39</v>
      </c>
      <c r="K694" s="105">
        <v>44778</v>
      </c>
      <c r="L694" s="100">
        <v>25.032</v>
      </c>
      <c r="M694" s="106">
        <v>16.063</v>
      </c>
      <c r="N694" s="100">
        <v>56</v>
      </c>
      <c r="O694" s="100">
        <v>45</v>
      </c>
      <c r="P694" s="100">
        <v>66</v>
      </c>
      <c r="Q694" s="100">
        <v>25</v>
      </c>
      <c r="S694" s="105">
        <v>44778</v>
      </c>
      <c r="T694" s="106">
        <f t="shared" si="10"/>
        <v>-5.695</v>
      </c>
    </row>
    <row r="695" spans="3:20">
      <c r="C695" s="105">
        <v>44777</v>
      </c>
      <c r="D695" s="106">
        <v>10.659</v>
      </c>
      <c r="E695" s="100">
        <v>14.803</v>
      </c>
      <c r="F695" s="100">
        <v>-28</v>
      </c>
      <c r="G695" s="100">
        <v>-19</v>
      </c>
      <c r="H695" s="100">
        <v>1</v>
      </c>
      <c r="I695" s="100">
        <v>-39</v>
      </c>
      <c r="K695" s="105">
        <v>44777</v>
      </c>
      <c r="L695" s="100">
        <v>24.569</v>
      </c>
      <c r="M695" s="106">
        <v>16.198</v>
      </c>
      <c r="N695" s="100">
        <v>52</v>
      </c>
      <c r="O695" s="100">
        <v>45</v>
      </c>
      <c r="P695" s="100">
        <v>66</v>
      </c>
      <c r="Q695" s="100">
        <v>25</v>
      </c>
      <c r="S695" s="105">
        <v>44777</v>
      </c>
      <c r="T695" s="106">
        <f t="shared" si="10"/>
        <v>-5.539</v>
      </c>
    </row>
    <row r="696" spans="3:20">
      <c r="C696" s="105">
        <v>44776</v>
      </c>
      <c r="D696" s="106">
        <v>10.489</v>
      </c>
      <c r="E696" s="100">
        <v>14.793</v>
      </c>
      <c r="F696" s="100">
        <v>-29</v>
      </c>
      <c r="G696" s="100">
        <v>-19</v>
      </c>
      <c r="H696" s="100">
        <v>1</v>
      </c>
      <c r="I696" s="100">
        <v>-39</v>
      </c>
      <c r="K696" s="105">
        <v>44776</v>
      </c>
      <c r="L696" s="100">
        <v>24.509</v>
      </c>
      <c r="M696" s="106">
        <v>16.181</v>
      </c>
      <c r="N696" s="100">
        <v>51</v>
      </c>
      <c r="O696" s="100">
        <v>45</v>
      </c>
      <c r="P696" s="100">
        <v>66</v>
      </c>
      <c r="Q696" s="100">
        <v>25</v>
      </c>
      <c r="S696" s="105">
        <v>44776</v>
      </c>
      <c r="T696" s="106">
        <f t="shared" si="10"/>
        <v>-5.692</v>
      </c>
    </row>
    <row r="697" spans="3:20">
      <c r="C697" s="105">
        <v>44775</v>
      </c>
      <c r="D697" s="106">
        <v>10.223</v>
      </c>
      <c r="E697" s="100">
        <v>14.589</v>
      </c>
      <c r="F697" s="100">
        <v>-30</v>
      </c>
      <c r="G697" s="100">
        <v>-19</v>
      </c>
      <c r="H697" s="100">
        <v>1</v>
      </c>
      <c r="I697" s="100">
        <v>-39</v>
      </c>
      <c r="K697" s="105">
        <v>44775</v>
      </c>
      <c r="L697" s="100">
        <v>24.171</v>
      </c>
      <c r="M697" s="106">
        <v>15.958</v>
      </c>
      <c r="N697" s="100">
        <v>51</v>
      </c>
      <c r="O697" s="100">
        <v>45</v>
      </c>
      <c r="P697" s="100">
        <v>66</v>
      </c>
      <c r="Q697" s="100">
        <v>25</v>
      </c>
      <c r="S697" s="105">
        <v>44775</v>
      </c>
      <c r="T697" s="106">
        <f t="shared" si="10"/>
        <v>-5.735</v>
      </c>
    </row>
    <row r="698" spans="3:20">
      <c r="C698" s="105">
        <v>44774</v>
      </c>
      <c r="D698" s="106">
        <v>10.419</v>
      </c>
      <c r="E698" s="100">
        <v>14.782</v>
      </c>
      <c r="F698" s="100">
        <v>-30</v>
      </c>
      <c r="G698" s="100">
        <v>-19</v>
      </c>
      <c r="H698" s="100">
        <v>1</v>
      </c>
      <c r="I698" s="100">
        <v>-39</v>
      </c>
      <c r="K698" s="105">
        <v>44774</v>
      </c>
      <c r="L698" s="100">
        <v>24.135</v>
      </c>
      <c r="M698" s="106">
        <v>16.118</v>
      </c>
      <c r="N698" s="100">
        <v>50</v>
      </c>
      <c r="O698" s="100">
        <v>45</v>
      </c>
      <c r="P698" s="100">
        <v>66</v>
      </c>
      <c r="Q698" s="100">
        <v>25</v>
      </c>
      <c r="S698" s="105">
        <v>44774</v>
      </c>
      <c r="T698" s="106">
        <f t="shared" si="10"/>
        <v>-5.699</v>
      </c>
    </row>
    <row r="699" spans="3:20">
      <c r="C699" s="105">
        <v>44771</v>
      </c>
      <c r="D699" s="106">
        <v>10.325</v>
      </c>
      <c r="E699" s="100">
        <v>14.807</v>
      </c>
      <c r="F699" s="100">
        <v>-30</v>
      </c>
      <c r="G699" s="100">
        <v>-19</v>
      </c>
      <c r="H699" s="100">
        <v>1</v>
      </c>
      <c r="I699" s="100">
        <v>-39</v>
      </c>
      <c r="K699" s="105">
        <v>44771</v>
      </c>
      <c r="L699" s="100">
        <v>24.183</v>
      </c>
      <c r="M699" s="106">
        <v>16.147</v>
      </c>
      <c r="N699" s="100">
        <v>50</v>
      </c>
      <c r="O699" s="100">
        <v>45</v>
      </c>
      <c r="P699" s="100">
        <v>66</v>
      </c>
      <c r="Q699" s="100">
        <v>25</v>
      </c>
      <c r="S699" s="105">
        <v>44771</v>
      </c>
      <c r="T699" s="106">
        <f t="shared" si="10"/>
        <v>-5.822</v>
      </c>
    </row>
    <row r="700" spans="3:20">
      <c r="C700" s="105">
        <v>44770</v>
      </c>
      <c r="D700" s="106">
        <v>10.086</v>
      </c>
      <c r="E700" s="100">
        <v>14.686</v>
      </c>
      <c r="F700" s="100">
        <v>-31</v>
      </c>
      <c r="G700" s="100">
        <v>-19</v>
      </c>
      <c r="H700" s="100">
        <v>1</v>
      </c>
      <c r="I700" s="100">
        <v>-39</v>
      </c>
      <c r="K700" s="105">
        <v>44770</v>
      </c>
      <c r="L700" s="100">
        <v>23.918</v>
      </c>
      <c r="M700" s="106">
        <v>16.005</v>
      </c>
      <c r="N700" s="100">
        <v>49</v>
      </c>
      <c r="O700" s="100">
        <v>45</v>
      </c>
      <c r="P700" s="100">
        <v>66</v>
      </c>
      <c r="Q700" s="100">
        <v>25</v>
      </c>
      <c r="S700" s="105">
        <v>44770</v>
      </c>
      <c r="T700" s="106">
        <f t="shared" si="10"/>
        <v>-5.919</v>
      </c>
    </row>
    <row r="701" spans="3:20">
      <c r="C701" s="105">
        <v>44769</v>
      </c>
      <c r="D701" s="106">
        <v>10.051</v>
      </c>
      <c r="E701" s="100">
        <v>14.62</v>
      </c>
      <c r="F701" s="100">
        <v>-31</v>
      </c>
      <c r="G701" s="100">
        <v>-19</v>
      </c>
      <c r="H701" s="100">
        <v>1</v>
      </c>
      <c r="I701" s="100">
        <v>-39</v>
      </c>
      <c r="K701" s="105">
        <v>44769</v>
      </c>
      <c r="L701" s="100">
        <v>23.809</v>
      </c>
      <c r="M701" s="106">
        <v>15.933</v>
      </c>
      <c r="N701" s="100">
        <v>49</v>
      </c>
      <c r="O701" s="100">
        <v>45</v>
      </c>
      <c r="P701" s="100">
        <v>66</v>
      </c>
      <c r="Q701" s="100">
        <v>25</v>
      </c>
      <c r="S701" s="105">
        <v>44769</v>
      </c>
      <c r="T701" s="106">
        <f t="shared" si="10"/>
        <v>-5.882</v>
      </c>
    </row>
    <row r="702" spans="3:20">
      <c r="C702" s="105">
        <v>44768</v>
      </c>
      <c r="D702" s="106">
        <v>10.183</v>
      </c>
      <c r="E702" s="100">
        <v>14.624</v>
      </c>
      <c r="F702" s="100">
        <v>-30</v>
      </c>
      <c r="G702" s="100">
        <v>-19</v>
      </c>
      <c r="H702" s="100">
        <v>1</v>
      </c>
      <c r="I702" s="100">
        <v>-39</v>
      </c>
      <c r="K702" s="105">
        <v>44768</v>
      </c>
      <c r="L702" s="100">
        <v>23.706</v>
      </c>
      <c r="M702" s="106">
        <v>15.921</v>
      </c>
      <c r="N702" s="100">
        <v>49</v>
      </c>
      <c r="O702" s="100">
        <v>45</v>
      </c>
      <c r="P702" s="100">
        <v>66</v>
      </c>
      <c r="Q702" s="100">
        <v>25</v>
      </c>
      <c r="S702" s="105">
        <v>44768</v>
      </c>
      <c r="T702" s="106">
        <f t="shared" si="10"/>
        <v>-5.738</v>
      </c>
    </row>
    <row r="703" spans="3:20">
      <c r="C703" s="105">
        <v>44767</v>
      </c>
      <c r="D703" s="106">
        <v>11.073</v>
      </c>
      <c r="E703" s="100">
        <v>15.211</v>
      </c>
      <c r="F703" s="100">
        <v>-27</v>
      </c>
      <c r="G703" s="100">
        <v>-19</v>
      </c>
      <c r="H703" s="100">
        <v>1</v>
      </c>
      <c r="I703" s="100">
        <v>-39</v>
      </c>
      <c r="K703" s="105">
        <v>44767</v>
      </c>
      <c r="L703" s="100">
        <v>23.664</v>
      </c>
      <c r="M703" s="106">
        <v>16.418</v>
      </c>
      <c r="N703" s="100">
        <v>44</v>
      </c>
      <c r="O703" s="100">
        <v>45</v>
      </c>
      <c r="P703" s="100">
        <v>66</v>
      </c>
      <c r="Q703" s="100">
        <v>25</v>
      </c>
      <c r="S703" s="105">
        <v>44767</v>
      </c>
      <c r="T703" s="106">
        <f t="shared" si="10"/>
        <v>-5.345</v>
      </c>
    </row>
    <row r="704" spans="3:20">
      <c r="C704" s="105">
        <v>44764</v>
      </c>
      <c r="D704" s="106">
        <v>11.314</v>
      </c>
      <c r="E704" s="100">
        <v>15.367</v>
      </c>
      <c r="F704" s="100">
        <v>-26</v>
      </c>
      <c r="G704" s="100">
        <v>-19</v>
      </c>
      <c r="H704" s="100">
        <v>1</v>
      </c>
      <c r="I704" s="100">
        <v>-39</v>
      </c>
      <c r="K704" s="105">
        <v>44764</v>
      </c>
      <c r="L704" s="100">
        <v>23.831</v>
      </c>
      <c r="M704" s="106">
        <v>16.576</v>
      </c>
      <c r="N704" s="100">
        <v>44</v>
      </c>
      <c r="O704" s="100">
        <v>45</v>
      </c>
      <c r="P704" s="100">
        <v>66</v>
      </c>
      <c r="Q704" s="100">
        <v>25</v>
      </c>
      <c r="S704" s="105">
        <v>44764</v>
      </c>
      <c r="T704" s="106">
        <f t="shared" si="10"/>
        <v>-5.262</v>
      </c>
    </row>
    <row r="705" spans="3:20">
      <c r="C705" s="105">
        <v>44763</v>
      </c>
      <c r="D705" s="106">
        <v>11.458</v>
      </c>
      <c r="E705" s="100">
        <v>15.428</v>
      </c>
      <c r="F705" s="100">
        <v>-26</v>
      </c>
      <c r="G705" s="100">
        <v>-19</v>
      </c>
      <c r="H705" s="100">
        <v>1</v>
      </c>
      <c r="I705" s="100">
        <v>-39</v>
      </c>
      <c r="K705" s="105">
        <v>44763</v>
      </c>
      <c r="L705" s="100">
        <v>23.966</v>
      </c>
      <c r="M705" s="106">
        <v>16.648</v>
      </c>
      <c r="N705" s="100">
        <v>44</v>
      </c>
      <c r="O705" s="100">
        <v>45</v>
      </c>
      <c r="P705" s="100">
        <v>66</v>
      </c>
      <c r="Q705" s="100">
        <v>25</v>
      </c>
      <c r="S705" s="105">
        <v>44763</v>
      </c>
      <c r="T705" s="106">
        <f t="shared" si="10"/>
        <v>-5.19</v>
      </c>
    </row>
    <row r="706" spans="3:20">
      <c r="C706" s="105">
        <v>44762</v>
      </c>
      <c r="D706" s="106">
        <v>11.238</v>
      </c>
      <c r="E706" s="100">
        <v>15.178</v>
      </c>
      <c r="F706" s="100">
        <v>-26</v>
      </c>
      <c r="G706" s="100">
        <v>-19</v>
      </c>
      <c r="H706" s="100">
        <v>1</v>
      </c>
      <c r="I706" s="100">
        <v>-39</v>
      </c>
      <c r="K706" s="105">
        <v>44762</v>
      </c>
      <c r="L706" s="100">
        <v>23.68</v>
      </c>
      <c r="M706" s="106">
        <v>16.393</v>
      </c>
      <c r="N706" s="100">
        <v>44</v>
      </c>
      <c r="O706" s="100">
        <v>45</v>
      </c>
      <c r="P706" s="100">
        <v>66</v>
      </c>
      <c r="Q706" s="100">
        <v>25</v>
      </c>
      <c r="S706" s="105">
        <v>44762</v>
      </c>
      <c r="T706" s="106">
        <f t="shared" si="10"/>
        <v>-5.155</v>
      </c>
    </row>
    <row r="707" spans="3:20">
      <c r="C707" s="105">
        <v>44761</v>
      </c>
      <c r="D707" s="106">
        <v>11.054</v>
      </c>
      <c r="E707" s="100">
        <v>15.23</v>
      </c>
      <c r="F707" s="100">
        <v>-27</v>
      </c>
      <c r="G707" s="100">
        <v>-19</v>
      </c>
      <c r="H707" s="100">
        <v>1</v>
      </c>
      <c r="I707" s="100">
        <v>-39</v>
      </c>
      <c r="K707" s="105">
        <v>44761</v>
      </c>
      <c r="L707" s="100">
        <v>23.364</v>
      </c>
      <c r="M707" s="106">
        <v>16.392</v>
      </c>
      <c r="N707" s="100">
        <v>43</v>
      </c>
      <c r="O707" s="100">
        <v>45</v>
      </c>
      <c r="P707" s="100">
        <v>66</v>
      </c>
      <c r="Q707" s="100">
        <v>25</v>
      </c>
      <c r="S707" s="105">
        <v>44761</v>
      </c>
      <c r="T707" s="106">
        <f t="shared" si="10"/>
        <v>-5.338</v>
      </c>
    </row>
    <row r="708" spans="3:20">
      <c r="C708" s="105">
        <v>44760</v>
      </c>
      <c r="D708" s="106">
        <v>10.613</v>
      </c>
      <c r="E708" s="100">
        <v>14.827</v>
      </c>
      <c r="F708" s="100">
        <v>-28</v>
      </c>
      <c r="G708" s="100">
        <v>-19</v>
      </c>
      <c r="H708" s="100">
        <v>1</v>
      </c>
      <c r="I708" s="100">
        <v>-39</v>
      </c>
      <c r="K708" s="105">
        <v>44760</v>
      </c>
      <c r="L708" s="100">
        <v>23.236</v>
      </c>
      <c r="M708" s="106">
        <v>16.028</v>
      </c>
      <c r="N708" s="100">
        <v>45</v>
      </c>
      <c r="O708" s="100">
        <v>45</v>
      </c>
      <c r="P708" s="100">
        <v>66</v>
      </c>
      <c r="Q708" s="100">
        <v>25</v>
      </c>
      <c r="S708" s="105">
        <v>44760</v>
      </c>
      <c r="T708" s="106">
        <f t="shared" si="10"/>
        <v>-5.415</v>
      </c>
    </row>
    <row r="709" spans="3:20">
      <c r="C709" s="105">
        <v>44757</v>
      </c>
      <c r="D709" s="106">
        <v>10.381</v>
      </c>
      <c r="E709" s="100">
        <v>14.708</v>
      </c>
      <c r="F709" s="100">
        <v>-29</v>
      </c>
      <c r="G709" s="100">
        <v>-19</v>
      </c>
      <c r="H709" s="100">
        <v>1</v>
      </c>
      <c r="I709" s="100">
        <v>-39</v>
      </c>
      <c r="K709" s="105">
        <v>44757</v>
      </c>
      <c r="L709" s="100">
        <v>22.935</v>
      </c>
      <c r="M709" s="106">
        <v>15.883</v>
      </c>
      <c r="N709" s="100">
        <v>44</v>
      </c>
      <c r="O709" s="100">
        <v>45</v>
      </c>
      <c r="P709" s="100">
        <v>66</v>
      </c>
      <c r="Q709" s="100">
        <v>25</v>
      </c>
      <c r="S709" s="105">
        <v>44757</v>
      </c>
      <c r="T709" s="106">
        <f t="shared" si="10"/>
        <v>-5.502</v>
      </c>
    </row>
    <row r="710" spans="3:20">
      <c r="C710" s="105">
        <v>44756</v>
      </c>
      <c r="D710" s="106">
        <v>9.947</v>
      </c>
      <c r="E710" s="100">
        <v>14.486</v>
      </c>
      <c r="F710" s="100">
        <v>-31</v>
      </c>
      <c r="G710" s="100">
        <v>-19</v>
      </c>
      <c r="H710" s="100">
        <v>1</v>
      </c>
      <c r="I710" s="100">
        <v>-39</v>
      </c>
      <c r="K710" s="105">
        <v>44756</v>
      </c>
      <c r="L710" s="100">
        <v>23.207</v>
      </c>
      <c r="M710" s="106">
        <v>15.732</v>
      </c>
      <c r="N710" s="100">
        <v>48</v>
      </c>
      <c r="O710" s="100">
        <v>45</v>
      </c>
      <c r="P710" s="100">
        <v>66</v>
      </c>
      <c r="Q710" s="100">
        <v>25</v>
      </c>
      <c r="S710" s="105">
        <v>44756</v>
      </c>
      <c r="T710" s="106">
        <f t="shared" si="10"/>
        <v>-5.785</v>
      </c>
    </row>
    <row r="711" spans="3:20">
      <c r="C711" s="105">
        <v>44755</v>
      </c>
      <c r="D711" s="106">
        <v>9.936</v>
      </c>
      <c r="E711" s="100">
        <v>14.634</v>
      </c>
      <c r="F711" s="100">
        <v>-32</v>
      </c>
      <c r="G711" s="100">
        <v>-19</v>
      </c>
      <c r="H711" s="100">
        <v>1</v>
      </c>
      <c r="I711" s="100">
        <v>-39</v>
      </c>
      <c r="K711" s="105">
        <v>44755</v>
      </c>
      <c r="L711" s="100">
        <v>23.365</v>
      </c>
      <c r="M711" s="106">
        <v>15.881</v>
      </c>
      <c r="N711" s="100">
        <v>47</v>
      </c>
      <c r="O711" s="100">
        <v>45</v>
      </c>
      <c r="P711" s="100">
        <v>66</v>
      </c>
      <c r="Q711" s="100">
        <v>25</v>
      </c>
      <c r="S711" s="105">
        <v>44755</v>
      </c>
      <c r="T711" s="106">
        <f t="shared" si="10"/>
        <v>-5.945</v>
      </c>
    </row>
    <row r="712" spans="3:20">
      <c r="C712" s="105">
        <v>44754</v>
      </c>
      <c r="D712" s="106">
        <v>10.07</v>
      </c>
      <c r="E712" s="100">
        <v>14.641</v>
      </c>
      <c r="F712" s="100">
        <v>-31</v>
      </c>
      <c r="G712" s="100">
        <v>-19</v>
      </c>
      <c r="H712" s="100">
        <v>1</v>
      </c>
      <c r="I712" s="100">
        <v>-39</v>
      </c>
      <c r="K712" s="105">
        <v>44754</v>
      </c>
      <c r="L712" s="100">
        <v>23.534</v>
      </c>
      <c r="M712" s="106">
        <v>15.911</v>
      </c>
      <c r="N712" s="100">
        <v>48</v>
      </c>
      <c r="O712" s="100">
        <v>45</v>
      </c>
      <c r="P712" s="100">
        <v>66</v>
      </c>
      <c r="Q712" s="100">
        <v>25</v>
      </c>
      <c r="S712" s="105">
        <v>44754</v>
      </c>
      <c r="T712" s="106">
        <f t="shared" si="10"/>
        <v>-5.841</v>
      </c>
    </row>
    <row r="713" spans="3:20">
      <c r="C713" s="105">
        <v>44753</v>
      </c>
      <c r="D713" s="106">
        <v>9.93</v>
      </c>
      <c r="E713" s="100">
        <v>14.487</v>
      </c>
      <c r="F713" s="100">
        <v>-31</v>
      </c>
      <c r="G713" s="100">
        <v>-19</v>
      </c>
      <c r="H713" s="100">
        <v>1</v>
      </c>
      <c r="I713" s="100">
        <v>-39</v>
      </c>
      <c r="K713" s="105">
        <v>44753</v>
      </c>
      <c r="L713" s="100">
        <v>23.339</v>
      </c>
      <c r="M713" s="106">
        <v>15.751</v>
      </c>
      <c r="N713" s="100">
        <v>48</v>
      </c>
      <c r="O713" s="100">
        <v>45</v>
      </c>
      <c r="P713" s="100">
        <v>66</v>
      </c>
      <c r="Q713" s="100">
        <v>25</v>
      </c>
      <c r="S713" s="105">
        <v>44753</v>
      </c>
      <c r="T713" s="106">
        <f t="shared" si="10"/>
        <v>-5.821</v>
      </c>
    </row>
    <row r="714" spans="3:20">
      <c r="C714" s="105">
        <v>44750</v>
      </c>
      <c r="D714" s="106">
        <v>10.052</v>
      </c>
      <c r="E714" s="100">
        <v>14.584</v>
      </c>
      <c r="F714" s="100">
        <v>-31</v>
      </c>
      <c r="G714" s="100">
        <v>-19</v>
      </c>
      <c r="H714" s="100">
        <v>1</v>
      </c>
      <c r="I714" s="100">
        <v>-39</v>
      </c>
      <c r="K714" s="105">
        <v>44750</v>
      </c>
      <c r="L714" s="100">
        <v>23.903</v>
      </c>
      <c r="M714" s="106">
        <v>15.915</v>
      </c>
      <c r="N714" s="100">
        <v>50</v>
      </c>
      <c r="O714" s="100">
        <v>45</v>
      </c>
      <c r="P714" s="100">
        <v>66</v>
      </c>
      <c r="Q714" s="100">
        <v>25</v>
      </c>
      <c r="S714" s="105">
        <v>44750</v>
      </c>
      <c r="T714" s="106">
        <f t="shared" si="10"/>
        <v>-5.863</v>
      </c>
    </row>
    <row r="715" spans="3:20">
      <c r="C715" s="105">
        <v>44749</v>
      </c>
      <c r="D715" s="106">
        <v>9.835</v>
      </c>
      <c r="E715" s="100">
        <v>14.438</v>
      </c>
      <c r="F715" s="100">
        <v>-32</v>
      </c>
      <c r="G715" s="100">
        <v>-19</v>
      </c>
      <c r="H715" s="100">
        <v>1</v>
      </c>
      <c r="I715" s="100">
        <v>-39</v>
      </c>
      <c r="K715" s="105">
        <v>44749</v>
      </c>
      <c r="L715" s="100">
        <v>23.816</v>
      </c>
      <c r="M715" s="106">
        <v>15.778</v>
      </c>
      <c r="N715" s="100">
        <v>51</v>
      </c>
      <c r="O715" s="100">
        <v>45</v>
      </c>
      <c r="P715" s="100">
        <v>66</v>
      </c>
      <c r="Q715" s="100">
        <v>25</v>
      </c>
      <c r="S715" s="105">
        <v>44749</v>
      </c>
      <c r="T715" s="106">
        <f t="shared" si="10"/>
        <v>-5.943</v>
      </c>
    </row>
    <row r="716" spans="3:20">
      <c r="C716" s="105">
        <v>44748</v>
      </c>
      <c r="D716" s="106">
        <v>9.522</v>
      </c>
      <c r="E716" s="100">
        <v>14.089</v>
      </c>
      <c r="F716" s="100">
        <v>-32</v>
      </c>
      <c r="G716" s="100">
        <v>-19</v>
      </c>
      <c r="H716" s="100">
        <v>1</v>
      </c>
      <c r="I716" s="100">
        <v>-39</v>
      </c>
      <c r="K716" s="105">
        <v>44748</v>
      </c>
      <c r="L716" s="100">
        <v>24.099</v>
      </c>
      <c r="M716" s="106">
        <v>15.519</v>
      </c>
      <c r="N716" s="100">
        <v>55</v>
      </c>
      <c r="O716" s="100">
        <v>45</v>
      </c>
      <c r="P716" s="100">
        <v>66</v>
      </c>
      <c r="Q716" s="100">
        <v>25</v>
      </c>
      <c r="S716" s="105">
        <v>44748</v>
      </c>
      <c r="T716" s="106">
        <f t="shared" si="10"/>
        <v>-5.997</v>
      </c>
    </row>
    <row r="717" spans="3:20">
      <c r="C717" s="105">
        <v>44747</v>
      </c>
      <c r="D717" s="106">
        <v>9.105</v>
      </c>
      <c r="E717" s="100">
        <v>13.791</v>
      </c>
      <c r="F717" s="100">
        <v>-34</v>
      </c>
      <c r="G717" s="100">
        <v>-19</v>
      </c>
      <c r="H717" s="100">
        <v>1</v>
      </c>
      <c r="I717" s="100">
        <v>-39</v>
      </c>
      <c r="K717" s="105">
        <v>44747</v>
      </c>
      <c r="L717" s="100">
        <v>23.365</v>
      </c>
      <c r="M717" s="106">
        <v>15.158</v>
      </c>
      <c r="N717" s="100">
        <v>54</v>
      </c>
      <c r="O717" s="100">
        <v>45</v>
      </c>
      <c r="P717" s="100">
        <v>66</v>
      </c>
      <c r="Q717" s="100">
        <v>25</v>
      </c>
      <c r="S717" s="105">
        <v>44747</v>
      </c>
      <c r="T717" s="106">
        <f t="shared" si="10"/>
        <v>-6.053</v>
      </c>
    </row>
    <row r="718" spans="3:20">
      <c r="C718" s="105">
        <v>44746</v>
      </c>
      <c r="D718" s="106">
        <v>9.23</v>
      </c>
      <c r="E718" s="100">
        <v>13.95</v>
      </c>
      <c r="F718" s="100">
        <v>-34</v>
      </c>
      <c r="G718" s="100">
        <v>-19</v>
      </c>
      <c r="H718" s="100">
        <v>1</v>
      </c>
      <c r="I718" s="100">
        <v>-39</v>
      </c>
      <c r="K718" s="105">
        <v>44746</v>
      </c>
      <c r="L718" s="100">
        <v>24.253</v>
      </c>
      <c r="M718" s="106">
        <v>15.422</v>
      </c>
      <c r="N718" s="100">
        <v>57</v>
      </c>
      <c r="O718" s="100">
        <v>45</v>
      </c>
      <c r="P718" s="100">
        <v>66</v>
      </c>
      <c r="Q718" s="100">
        <v>25</v>
      </c>
      <c r="S718" s="105">
        <v>44746</v>
      </c>
      <c r="T718" s="106">
        <f t="shared" si="10"/>
        <v>-6.192</v>
      </c>
    </row>
    <row r="719" spans="3:20">
      <c r="C719" s="105">
        <v>44743</v>
      </c>
      <c r="D719" s="106">
        <v>9.469</v>
      </c>
      <c r="E719" s="100">
        <v>13.885</v>
      </c>
      <c r="F719" s="100">
        <v>-32</v>
      </c>
      <c r="G719" s="100">
        <v>-19</v>
      </c>
      <c r="H719" s="100">
        <v>1</v>
      </c>
      <c r="I719" s="100">
        <v>-39</v>
      </c>
      <c r="K719" s="105">
        <v>44743</v>
      </c>
      <c r="L719" s="100">
        <v>23.779</v>
      </c>
      <c r="M719" s="106">
        <v>15.298</v>
      </c>
      <c r="N719" s="100">
        <v>55</v>
      </c>
      <c r="O719" s="100">
        <v>45</v>
      </c>
      <c r="P719" s="100">
        <v>66</v>
      </c>
      <c r="Q719" s="100">
        <v>25</v>
      </c>
      <c r="S719" s="105">
        <v>44743</v>
      </c>
      <c r="T719" s="106">
        <f t="shared" si="10"/>
        <v>-5.829</v>
      </c>
    </row>
    <row r="720" spans="3:20">
      <c r="C720" s="105">
        <v>44742</v>
      </c>
      <c r="D720" s="106">
        <v>9.288</v>
      </c>
      <c r="E720" s="100">
        <v>13.722</v>
      </c>
      <c r="F720" s="100">
        <v>-32</v>
      </c>
      <c r="G720" s="100">
        <v>-19</v>
      </c>
      <c r="H720" s="100">
        <v>1</v>
      </c>
      <c r="I720" s="100">
        <v>-39</v>
      </c>
      <c r="K720" s="105">
        <v>44742</v>
      </c>
      <c r="L720" s="100">
        <v>24.018</v>
      </c>
      <c r="M720" s="106">
        <v>15.193</v>
      </c>
      <c r="N720" s="100">
        <v>58</v>
      </c>
      <c r="O720" s="100">
        <v>45</v>
      </c>
      <c r="P720" s="100">
        <v>66</v>
      </c>
      <c r="Q720" s="100">
        <v>25</v>
      </c>
      <c r="S720" s="105">
        <v>44742</v>
      </c>
      <c r="T720" s="106">
        <f t="shared" si="10"/>
        <v>-5.905</v>
      </c>
    </row>
    <row r="721" spans="3:20">
      <c r="C721" s="105">
        <v>44741</v>
      </c>
      <c r="D721" s="106">
        <v>9.338</v>
      </c>
      <c r="E721" s="100">
        <v>13.903</v>
      </c>
      <c r="F721" s="100">
        <v>-33</v>
      </c>
      <c r="G721" s="100">
        <v>-19</v>
      </c>
      <c r="H721" s="100">
        <v>1</v>
      </c>
      <c r="I721" s="100">
        <v>-39</v>
      </c>
      <c r="K721" s="105">
        <v>44741</v>
      </c>
      <c r="L721" s="100">
        <v>24.246</v>
      </c>
      <c r="M721" s="106">
        <v>15.381</v>
      </c>
      <c r="N721" s="100">
        <v>58</v>
      </c>
      <c r="O721" s="100">
        <v>45</v>
      </c>
      <c r="P721" s="100">
        <v>66</v>
      </c>
      <c r="Q721" s="100">
        <v>25</v>
      </c>
      <c r="S721" s="105">
        <v>44741</v>
      </c>
      <c r="T721" s="106">
        <f t="shared" si="10"/>
        <v>-6.043</v>
      </c>
    </row>
    <row r="722" spans="3:20">
      <c r="C722" s="105">
        <v>44740</v>
      </c>
      <c r="D722" s="106">
        <v>9.475</v>
      </c>
      <c r="E722" s="100">
        <v>13.862</v>
      </c>
      <c r="F722" s="100">
        <v>-32</v>
      </c>
      <c r="G722" s="100">
        <v>-19</v>
      </c>
      <c r="H722" s="100">
        <v>1</v>
      </c>
      <c r="I722" s="100">
        <v>-39</v>
      </c>
      <c r="K722" s="105">
        <v>44740</v>
      </c>
      <c r="L722" s="100">
        <v>24.231</v>
      </c>
      <c r="M722" s="106">
        <v>15.344</v>
      </c>
      <c r="N722" s="100">
        <v>58</v>
      </c>
      <c r="O722" s="100">
        <v>45</v>
      </c>
      <c r="P722" s="100">
        <v>66</v>
      </c>
      <c r="Q722" s="100">
        <v>25</v>
      </c>
      <c r="S722" s="105">
        <v>44740</v>
      </c>
      <c r="T722" s="106">
        <f t="shared" si="10"/>
        <v>-5.869</v>
      </c>
    </row>
    <row r="723" spans="3:20">
      <c r="C723" s="105">
        <v>44739</v>
      </c>
      <c r="D723" s="106">
        <v>9.603</v>
      </c>
      <c r="E723" s="100">
        <v>13.898</v>
      </c>
      <c r="F723" s="100">
        <v>-31</v>
      </c>
      <c r="G723" s="100">
        <v>-19</v>
      </c>
      <c r="H723" s="100">
        <v>1</v>
      </c>
      <c r="I723" s="100">
        <v>-39</v>
      </c>
      <c r="K723" s="105">
        <v>44739</v>
      </c>
      <c r="L723" s="100">
        <v>23.982</v>
      </c>
      <c r="M723" s="106">
        <v>15.338</v>
      </c>
      <c r="N723" s="100">
        <v>56</v>
      </c>
      <c r="O723" s="100">
        <v>45</v>
      </c>
      <c r="P723" s="100">
        <v>66</v>
      </c>
      <c r="Q723" s="100">
        <v>25</v>
      </c>
      <c r="S723" s="105">
        <v>44739</v>
      </c>
      <c r="T723" s="106">
        <f t="shared" si="10"/>
        <v>-5.735</v>
      </c>
    </row>
    <row r="724" spans="3:20">
      <c r="C724" s="105">
        <v>44736</v>
      </c>
      <c r="D724" s="106">
        <v>9.637</v>
      </c>
      <c r="E724" s="100">
        <v>13.861</v>
      </c>
      <c r="F724" s="100">
        <v>-30</v>
      </c>
      <c r="G724" s="100">
        <v>-19</v>
      </c>
      <c r="H724" s="100">
        <v>1</v>
      </c>
      <c r="I724" s="100">
        <v>-39</v>
      </c>
      <c r="K724" s="105">
        <v>44736</v>
      </c>
      <c r="L724" s="100">
        <v>23.814</v>
      </c>
      <c r="M724" s="106">
        <v>15.283</v>
      </c>
      <c r="N724" s="100">
        <v>56</v>
      </c>
      <c r="O724" s="100">
        <v>45</v>
      </c>
      <c r="P724" s="100">
        <v>66</v>
      </c>
      <c r="Q724" s="100">
        <v>25</v>
      </c>
      <c r="S724" s="105">
        <v>44736</v>
      </c>
      <c r="T724" s="106">
        <f t="shared" si="10"/>
        <v>-5.646</v>
      </c>
    </row>
    <row r="725" spans="3:20">
      <c r="C725" s="105">
        <v>44735</v>
      </c>
      <c r="D725" s="106">
        <v>9.241</v>
      </c>
      <c r="E725" s="100">
        <v>13.577</v>
      </c>
      <c r="F725" s="100">
        <v>-32</v>
      </c>
      <c r="G725" s="100">
        <v>-19</v>
      </c>
      <c r="H725" s="100">
        <v>1</v>
      </c>
      <c r="I725" s="100">
        <v>-39</v>
      </c>
      <c r="K725" s="105">
        <v>44735</v>
      </c>
      <c r="L725" s="100">
        <v>23.394</v>
      </c>
      <c r="M725" s="106">
        <v>14.979</v>
      </c>
      <c r="N725" s="100">
        <v>56</v>
      </c>
      <c r="O725" s="100">
        <v>45</v>
      </c>
      <c r="P725" s="100">
        <v>66</v>
      </c>
      <c r="Q725" s="100">
        <v>25</v>
      </c>
      <c r="S725" s="105">
        <v>44735</v>
      </c>
      <c r="T725" s="106">
        <f t="shared" si="10"/>
        <v>-5.738</v>
      </c>
    </row>
    <row r="726" spans="3:20">
      <c r="C726" s="105">
        <v>44734</v>
      </c>
      <c r="D726" s="106">
        <v>9.156</v>
      </c>
      <c r="E726" s="100">
        <v>13.578</v>
      </c>
      <c r="F726" s="100">
        <v>-33</v>
      </c>
      <c r="G726" s="100">
        <v>-19</v>
      </c>
      <c r="H726" s="100">
        <v>1</v>
      </c>
      <c r="I726" s="100">
        <v>-39</v>
      </c>
      <c r="K726" s="105">
        <v>44734</v>
      </c>
      <c r="L726" s="100">
        <v>23.012</v>
      </c>
      <c r="M726" s="106">
        <v>14.926</v>
      </c>
      <c r="N726" s="100">
        <v>54</v>
      </c>
      <c r="O726" s="100">
        <v>45</v>
      </c>
      <c r="P726" s="100">
        <v>66</v>
      </c>
      <c r="Q726" s="100">
        <v>25</v>
      </c>
      <c r="S726" s="105">
        <v>44734</v>
      </c>
      <c r="T726" s="106">
        <f t="shared" ref="T726:T789" si="11">D726-M726</f>
        <v>-5.77</v>
      </c>
    </row>
    <row r="727" spans="3:20">
      <c r="C727" s="105">
        <v>44733</v>
      </c>
      <c r="D727" s="106">
        <v>8.591</v>
      </c>
      <c r="E727" s="100">
        <v>13.549</v>
      </c>
      <c r="F727" s="100">
        <v>-37</v>
      </c>
      <c r="G727" s="100">
        <v>-19</v>
      </c>
      <c r="H727" s="100">
        <v>1</v>
      </c>
      <c r="I727" s="100">
        <v>-39</v>
      </c>
      <c r="K727" s="105">
        <v>44733</v>
      </c>
      <c r="L727" s="100">
        <v>22.485</v>
      </c>
      <c r="M727" s="106">
        <v>14.826</v>
      </c>
      <c r="N727" s="100">
        <v>52</v>
      </c>
      <c r="O727" s="100">
        <v>45</v>
      </c>
      <c r="P727" s="100">
        <v>66</v>
      </c>
      <c r="Q727" s="100">
        <v>25</v>
      </c>
      <c r="S727" s="105">
        <v>44733</v>
      </c>
      <c r="T727" s="106">
        <f t="shared" si="11"/>
        <v>-6.235</v>
      </c>
    </row>
    <row r="728" spans="3:20">
      <c r="C728" s="105">
        <v>44732</v>
      </c>
      <c r="D728" s="106">
        <v>8.556</v>
      </c>
      <c r="E728" s="100">
        <v>13.56</v>
      </c>
      <c r="F728" s="100">
        <v>-37</v>
      </c>
      <c r="G728" s="100">
        <v>-19</v>
      </c>
      <c r="H728" s="100">
        <v>1</v>
      </c>
      <c r="I728" s="100">
        <v>-39</v>
      </c>
      <c r="K728" s="105">
        <v>44732</v>
      </c>
      <c r="L728" s="100">
        <v>22.222</v>
      </c>
      <c r="M728" s="106">
        <v>14.798</v>
      </c>
      <c r="N728" s="100">
        <v>50</v>
      </c>
      <c r="O728" s="100">
        <v>45</v>
      </c>
      <c r="P728" s="100">
        <v>66</v>
      </c>
      <c r="Q728" s="100">
        <v>25</v>
      </c>
      <c r="S728" s="105">
        <v>44732</v>
      </c>
      <c r="T728" s="106">
        <f t="shared" si="11"/>
        <v>-6.242</v>
      </c>
    </row>
    <row r="729" spans="3:20">
      <c r="C729" s="105">
        <v>44729</v>
      </c>
      <c r="D729" s="106">
        <v>8.567</v>
      </c>
      <c r="E729" s="100">
        <v>13.449</v>
      </c>
      <c r="F729" s="100">
        <v>-36</v>
      </c>
      <c r="G729" s="100">
        <v>-19</v>
      </c>
      <c r="H729" s="100">
        <v>1</v>
      </c>
      <c r="I729" s="100">
        <v>-39</v>
      </c>
      <c r="K729" s="105">
        <v>44729</v>
      </c>
      <c r="L729" s="100">
        <v>22.405</v>
      </c>
      <c r="M729" s="106">
        <v>14.728</v>
      </c>
      <c r="N729" s="100">
        <v>52</v>
      </c>
      <c r="O729" s="100">
        <v>45</v>
      </c>
      <c r="P729" s="100">
        <v>66</v>
      </c>
      <c r="Q729" s="100">
        <v>25</v>
      </c>
      <c r="S729" s="105">
        <v>44729</v>
      </c>
      <c r="T729" s="106">
        <f t="shared" si="11"/>
        <v>-6.161</v>
      </c>
    </row>
    <row r="730" spans="3:20">
      <c r="C730" s="105">
        <v>44728</v>
      </c>
      <c r="D730" s="106">
        <v>8.281</v>
      </c>
      <c r="E730" s="100">
        <v>13.309</v>
      </c>
      <c r="F730" s="100">
        <v>-38</v>
      </c>
      <c r="G730" s="100">
        <v>-19</v>
      </c>
      <c r="H730" s="100">
        <v>1</v>
      </c>
      <c r="I730" s="100">
        <v>-39</v>
      </c>
      <c r="K730" s="105">
        <v>44728</v>
      </c>
      <c r="L730" s="100">
        <v>22.8</v>
      </c>
      <c r="M730" s="106">
        <v>14.665</v>
      </c>
      <c r="N730" s="100">
        <v>55</v>
      </c>
      <c r="O730" s="100">
        <v>45</v>
      </c>
      <c r="P730" s="100">
        <v>66</v>
      </c>
      <c r="Q730" s="100">
        <v>25</v>
      </c>
      <c r="S730" s="105">
        <v>44728</v>
      </c>
      <c r="T730" s="106">
        <f t="shared" si="11"/>
        <v>-6.384</v>
      </c>
    </row>
    <row r="731" spans="3:20">
      <c r="C731" s="105">
        <v>44727</v>
      </c>
      <c r="D731" s="106">
        <v>8.963</v>
      </c>
      <c r="E731" s="100">
        <v>13.916</v>
      </c>
      <c r="F731" s="100">
        <v>-36</v>
      </c>
      <c r="G731" s="100">
        <v>-19</v>
      </c>
      <c r="H731" s="100">
        <v>1</v>
      </c>
      <c r="I731" s="100">
        <v>-39</v>
      </c>
      <c r="K731" s="105">
        <v>44727</v>
      </c>
      <c r="L731" s="100">
        <v>22.28</v>
      </c>
      <c r="M731" s="106">
        <v>15.111</v>
      </c>
      <c r="N731" s="100">
        <v>47</v>
      </c>
      <c r="O731" s="100">
        <v>45</v>
      </c>
      <c r="P731" s="100">
        <v>66</v>
      </c>
      <c r="Q731" s="100">
        <v>25</v>
      </c>
      <c r="S731" s="105">
        <v>44727</v>
      </c>
      <c r="T731" s="106">
        <f t="shared" si="11"/>
        <v>-6.148</v>
      </c>
    </row>
    <row r="732" spans="3:20">
      <c r="C732" s="105">
        <v>44726</v>
      </c>
      <c r="D732" s="106">
        <v>8.997</v>
      </c>
      <c r="E732" s="100">
        <v>14.033</v>
      </c>
      <c r="F732" s="100">
        <v>-36</v>
      </c>
      <c r="G732" s="100">
        <v>-19</v>
      </c>
      <c r="H732" s="100">
        <v>1</v>
      </c>
      <c r="I732" s="100">
        <v>-39</v>
      </c>
      <c r="K732" s="105">
        <v>44726</v>
      </c>
      <c r="L732" s="100">
        <v>21.23</v>
      </c>
      <c r="M732" s="106">
        <v>15.061</v>
      </c>
      <c r="N732" s="100">
        <v>41</v>
      </c>
      <c r="O732" s="100">
        <v>45</v>
      </c>
      <c r="P732" s="100">
        <v>66</v>
      </c>
      <c r="Q732" s="100">
        <v>25</v>
      </c>
      <c r="S732" s="105">
        <v>44726</v>
      </c>
      <c r="T732" s="106">
        <f t="shared" si="11"/>
        <v>-6.064</v>
      </c>
    </row>
    <row r="733" spans="3:20">
      <c r="C733" s="105">
        <v>44725</v>
      </c>
      <c r="D733" s="106">
        <v>9.256</v>
      </c>
      <c r="E733" s="100">
        <v>14.208</v>
      </c>
      <c r="F733" s="100">
        <v>-35</v>
      </c>
      <c r="G733" s="100">
        <v>-19</v>
      </c>
      <c r="H733" s="100">
        <v>1</v>
      </c>
      <c r="I733" s="100">
        <v>-39</v>
      </c>
      <c r="K733" s="105">
        <v>44725</v>
      </c>
      <c r="L733" s="100">
        <v>21.665</v>
      </c>
      <c r="M733" s="106">
        <v>15.274</v>
      </c>
      <c r="N733" s="100">
        <v>42</v>
      </c>
      <c r="O733" s="100">
        <v>45</v>
      </c>
      <c r="P733" s="100">
        <v>66</v>
      </c>
      <c r="Q733" s="100">
        <v>25</v>
      </c>
      <c r="S733" s="105">
        <v>44725</v>
      </c>
      <c r="T733" s="106">
        <f t="shared" si="11"/>
        <v>-6.018</v>
      </c>
    </row>
    <row r="734" spans="3:20">
      <c r="C734" s="105">
        <v>44722</v>
      </c>
      <c r="D734" s="106">
        <v>9.404</v>
      </c>
      <c r="E734" s="100">
        <v>14.553</v>
      </c>
      <c r="F734" s="100">
        <v>-35</v>
      </c>
      <c r="G734" s="100">
        <v>-19</v>
      </c>
      <c r="H734" s="100">
        <v>1</v>
      </c>
      <c r="I734" s="100">
        <v>-39</v>
      </c>
      <c r="K734" s="105">
        <v>44722</v>
      </c>
      <c r="L734" s="100">
        <v>22.339</v>
      </c>
      <c r="M734" s="106">
        <v>15.665</v>
      </c>
      <c r="N734" s="100">
        <v>43</v>
      </c>
      <c r="O734" s="100">
        <v>45</v>
      </c>
      <c r="P734" s="100">
        <v>66</v>
      </c>
      <c r="Q734" s="100">
        <v>25</v>
      </c>
      <c r="S734" s="105">
        <v>44722</v>
      </c>
      <c r="T734" s="106">
        <f t="shared" si="11"/>
        <v>-6.261</v>
      </c>
    </row>
    <row r="735" spans="3:20">
      <c r="C735" s="105">
        <v>44721</v>
      </c>
      <c r="D735" s="106">
        <v>9.788</v>
      </c>
      <c r="E735" s="100">
        <v>14.954</v>
      </c>
      <c r="F735" s="100">
        <v>-35</v>
      </c>
      <c r="G735" s="100">
        <v>-19</v>
      </c>
      <c r="H735" s="100">
        <v>1</v>
      </c>
      <c r="I735" s="100">
        <v>-39</v>
      </c>
      <c r="K735" s="105">
        <v>44721</v>
      </c>
      <c r="L735" s="100">
        <v>22.528</v>
      </c>
      <c r="M735" s="106">
        <v>16.036</v>
      </c>
      <c r="N735" s="100">
        <v>40</v>
      </c>
      <c r="O735" s="100">
        <v>45</v>
      </c>
      <c r="P735" s="100">
        <v>66</v>
      </c>
      <c r="Q735" s="100">
        <v>25</v>
      </c>
      <c r="S735" s="105">
        <v>44721</v>
      </c>
      <c r="T735" s="106">
        <f t="shared" si="11"/>
        <v>-6.248</v>
      </c>
    </row>
    <row r="736" spans="3:20">
      <c r="C736" s="105">
        <v>44720</v>
      </c>
      <c r="D736" s="106">
        <v>9.85</v>
      </c>
      <c r="E736" s="100">
        <v>15.133</v>
      </c>
      <c r="F736" s="100">
        <v>-35</v>
      </c>
      <c r="G736" s="100">
        <v>-19</v>
      </c>
      <c r="H736" s="100">
        <v>1</v>
      </c>
      <c r="I736" s="100">
        <v>-39</v>
      </c>
      <c r="K736" s="105">
        <v>44720</v>
      </c>
      <c r="L736" s="100">
        <v>22.62</v>
      </c>
      <c r="M736" s="106">
        <v>16.202</v>
      </c>
      <c r="N736" s="100">
        <v>40</v>
      </c>
      <c r="O736" s="100">
        <v>45</v>
      </c>
      <c r="P736" s="100">
        <v>66</v>
      </c>
      <c r="Q736" s="100">
        <v>25</v>
      </c>
      <c r="S736" s="105">
        <v>44720</v>
      </c>
      <c r="T736" s="106">
        <f t="shared" si="11"/>
        <v>-6.352</v>
      </c>
    </row>
    <row r="737" spans="3:20">
      <c r="C737" s="105">
        <v>44719</v>
      </c>
      <c r="D737" s="106">
        <v>9.545</v>
      </c>
      <c r="E737" s="100">
        <v>14.809</v>
      </c>
      <c r="F737" s="100">
        <v>-36</v>
      </c>
      <c r="G737" s="100">
        <v>-19</v>
      </c>
      <c r="H737" s="100">
        <v>1</v>
      </c>
      <c r="I737" s="100">
        <v>-39</v>
      </c>
      <c r="K737" s="105">
        <v>44719</v>
      </c>
      <c r="L737" s="100">
        <v>22.722</v>
      </c>
      <c r="M737" s="106">
        <v>15.939</v>
      </c>
      <c r="N737" s="100">
        <v>43</v>
      </c>
      <c r="O737" s="100">
        <v>45</v>
      </c>
      <c r="P737" s="100">
        <v>66</v>
      </c>
      <c r="Q737" s="100">
        <v>25</v>
      </c>
      <c r="S737" s="105">
        <v>44719</v>
      </c>
      <c r="T737" s="106">
        <f t="shared" si="11"/>
        <v>-6.394</v>
      </c>
    </row>
    <row r="738" spans="3:20">
      <c r="C738" s="105">
        <v>44718</v>
      </c>
      <c r="D738" s="106">
        <v>9.934</v>
      </c>
      <c r="E738" s="100">
        <v>14.872</v>
      </c>
      <c r="F738" s="100">
        <v>-33</v>
      </c>
      <c r="G738" s="100">
        <v>-19</v>
      </c>
      <c r="H738" s="100">
        <v>1</v>
      </c>
      <c r="I738" s="100">
        <v>-39</v>
      </c>
      <c r="K738" s="105">
        <v>44718</v>
      </c>
      <c r="L738" s="100">
        <v>23.379</v>
      </c>
      <c r="M738" s="106">
        <v>16.088</v>
      </c>
      <c r="N738" s="100">
        <v>45</v>
      </c>
      <c r="O738" s="100">
        <v>45</v>
      </c>
      <c r="P738" s="100">
        <v>66</v>
      </c>
      <c r="Q738" s="100">
        <v>25</v>
      </c>
      <c r="S738" s="105">
        <v>44718</v>
      </c>
      <c r="T738" s="106">
        <f t="shared" si="11"/>
        <v>-6.154</v>
      </c>
    </row>
    <row r="739" spans="3:20">
      <c r="C739" s="105">
        <v>44713</v>
      </c>
      <c r="D739" s="106">
        <v>9.847</v>
      </c>
      <c r="E739" s="100">
        <v>14.831</v>
      </c>
      <c r="F739" s="100">
        <v>-34</v>
      </c>
      <c r="G739" s="100">
        <v>-19</v>
      </c>
      <c r="H739" s="100">
        <v>1</v>
      </c>
      <c r="I739" s="100">
        <v>-39</v>
      </c>
      <c r="K739" s="105">
        <v>44713</v>
      </c>
      <c r="L739" s="100">
        <v>22.83</v>
      </c>
      <c r="M739" s="106">
        <v>15.974</v>
      </c>
      <c r="N739" s="100">
        <v>43</v>
      </c>
      <c r="O739" s="100">
        <v>45</v>
      </c>
      <c r="P739" s="100">
        <v>66</v>
      </c>
      <c r="Q739" s="100">
        <v>25</v>
      </c>
      <c r="S739" s="105">
        <v>44713</v>
      </c>
      <c r="T739" s="106">
        <f t="shared" si="11"/>
        <v>-6.127</v>
      </c>
    </row>
    <row r="740" spans="3:20">
      <c r="C740" s="105">
        <v>44712</v>
      </c>
      <c r="D740" s="106">
        <v>9.893</v>
      </c>
      <c r="E740" s="100">
        <v>14.839</v>
      </c>
      <c r="F740" s="100">
        <v>-33</v>
      </c>
      <c r="G740" s="100">
        <v>-19</v>
      </c>
      <c r="H740" s="100">
        <v>1</v>
      </c>
      <c r="I740" s="100">
        <v>-39</v>
      </c>
      <c r="K740" s="105">
        <v>44712</v>
      </c>
      <c r="L740" s="100">
        <v>23.668</v>
      </c>
      <c r="M740" s="106">
        <v>16.1</v>
      </c>
      <c r="N740" s="100">
        <v>47</v>
      </c>
      <c r="O740" s="100">
        <v>45</v>
      </c>
      <c r="P740" s="100">
        <v>66</v>
      </c>
      <c r="Q740" s="100">
        <v>25</v>
      </c>
      <c r="S740" s="105">
        <v>44712</v>
      </c>
      <c r="T740" s="106">
        <f t="shared" si="11"/>
        <v>-6.207</v>
      </c>
    </row>
    <row r="741" spans="3:20">
      <c r="C741" s="105">
        <v>44711</v>
      </c>
      <c r="D741" s="106">
        <v>10.044</v>
      </c>
      <c r="E741" s="100">
        <v>14.9</v>
      </c>
      <c r="F741" s="100">
        <v>-33</v>
      </c>
      <c r="G741" s="100">
        <v>-19</v>
      </c>
      <c r="H741" s="100">
        <v>1</v>
      </c>
      <c r="I741" s="100">
        <v>-39</v>
      </c>
      <c r="K741" s="105">
        <v>44711</v>
      </c>
      <c r="L741" s="100">
        <v>24.276</v>
      </c>
      <c r="M741" s="106">
        <v>16.239</v>
      </c>
      <c r="N741" s="100">
        <v>49</v>
      </c>
      <c r="O741" s="100">
        <v>45</v>
      </c>
      <c r="P741" s="100">
        <v>66</v>
      </c>
      <c r="Q741" s="100">
        <v>25</v>
      </c>
      <c r="S741" s="105">
        <v>44711</v>
      </c>
      <c r="T741" s="106">
        <f t="shared" si="11"/>
        <v>-6.195</v>
      </c>
    </row>
    <row r="742" spans="3:20">
      <c r="C742" s="105">
        <v>44708</v>
      </c>
      <c r="D742" s="106">
        <v>9.68</v>
      </c>
      <c r="E742" s="100">
        <v>14.681</v>
      </c>
      <c r="F742" s="100">
        <v>-34</v>
      </c>
      <c r="G742" s="100">
        <v>-19</v>
      </c>
      <c r="H742" s="100">
        <v>1</v>
      </c>
      <c r="I742" s="100">
        <v>-39</v>
      </c>
      <c r="K742" s="105">
        <v>44708</v>
      </c>
      <c r="L742" s="100">
        <v>24.198</v>
      </c>
      <c r="M742" s="106">
        <v>16.041</v>
      </c>
      <c r="N742" s="100">
        <v>51</v>
      </c>
      <c r="O742" s="100">
        <v>45</v>
      </c>
      <c r="P742" s="100">
        <v>66</v>
      </c>
      <c r="Q742" s="100">
        <v>25</v>
      </c>
      <c r="S742" s="105">
        <v>44708</v>
      </c>
      <c r="T742" s="106">
        <f t="shared" si="11"/>
        <v>-6.361</v>
      </c>
    </row>
    <row r="743" spans="3:20">
      <c r="C743" s="105">
        <v>44707</v>
      </c>
      <c r="D743" s="106">
        <v>9.616</v>
      </c>
      <c r="E743" s="100">
        <v>14.258</v>
      </c>
      <c r="F743" s="100">
        <v>-33</v>
      </c>
      <c r="G743" s="100">
        <v>-19</v>
      </c>
      <c r="H743" s="100">
        <v>1</v>
      </c>
      <c r="I743" s="100">
        <v>-39</v>
      </c>
      <c r="K743" s="105">
        <v>44707</v>
      </c>
      <c r="L743" s="100">
        <v>23.666</v>
      </c>
      <c r="M743" s="106">
        <v>15.602</v>
      </c>
      <c r="N743" s="100">
        <v>52</v>
      </c>
      <c r="O743" s="100">
        <v>45</v>
      </c>
      <c r="P743" s="100">
        <v>66</v>
      </c>
      <c r="Q743" s="100">
        <v>25</v>
      </c>
      <c r="S743" s="105">
        <v>44707</v>
      </c>
      <c r="T743" s="106">
        <f t="shared" si="11"/>
        <v>-5.986</v>
      </c>
    </row>
    <row r="744" spans="3:20">
      <c r="C744" s="105">
        <v>44706</v>
      </c>
      <c r="D744" s="106">
        <v>9.041</v>
      </c>
      <c r="E744" s="100">
        <v>13.76</v>
      </c>
      <c r="F744" s="100">
        <v>-34</v>
      </c>
      <c r="G744" s="100">
        <v>-19</v>
      </c>
      <c r="H744" s="100">
        <v>1</v>
      </c>
      <c r="I744" s="100">
        <v>-39</v>
      </c>
      <c r="K744" s="105">
        <v>44706</v>
      </c>
      <c r="L744" s="100">
        <v>23.474</v>
      </c>
      <c r="M744" s="106">
        <v>15.147</v>
      </c>
      <c r="N744" s="100">
        <v>55</v>
      </c>
      <c r="O744" s="100">
        <v>45</v>
      </c>
      <c r="P744" s="100">
        <v>66</v>
      </c>
      <c r="Q744" s="100">
        <v>25</v>
      </c>
      <c r="S744" s="105">
        <v>44706</v>
      </c>
      <c r="T744" s="106">
        <f t="shared" si="11"/>
        <v>-6.106</v>
      </c>
    </row>
    <row r="745" spans="3:20">
      <c r="C745" s="105">
        <v>44705</v>
      </c>
      <c r="D745" s="106">
        <v>9.632</v>
      </c>
      <c r="E745" s="100">
        <v>13.78</v>
      </c>
      <c r="F745" s="100">
        <v>-30</v>
      </c>
      <c r="G745" s="100">
        <v>-19</v>
      </c>
      <c r="H745" s="100">
        <v>1</v>
      </c>
      <c r="I745" s="100">
        <v>-39</v>
      </c>
      <c r="K745" s="105">
        <v>44705</v>
      </c>
      <c r="L745" s="100">
        <v>23.423</v>
      </c>
      <c r="M745" s="106">
        <v>15.158</v>
      </c>
      <c r="N745" s="100">
        <v>55</v>
      </c>
      <c r="O745" s="100">
        <v>45</v>
      </c>
      <c r="P745" s="100">
        <v>66</v>
      </c>
      <c r="Q745" s="100">
        <v>25</v>
      </c>
      <c r="S745" s="105">
        <v>44705</v>
      </c>
      <c r="T745" s="106">
        <f t="shared" si="11"/>
        <v>-5.526</v>
      </c>
    </row>
    <row r="746" spans="3:20">
      <c r="C746" s="105">
        <v>44704</v>
      </c>
      <c r="D746" s="106">
        <v>9.985</v>
      </c>
      <c r="E746" s="100">
        <v>14.251</v>
      </c>
      <c r="F746" s="100">
        <v>-30</v>
      </c>
      <c r="G746" s="100">
        <v>-19</v>
      </c>
      <c r="H746" s="100">
        <v>1</v>
      </c>
      <c r="I746" s="100">
        <v>-39</v>
      </c>
      <c r="K746" s="105">
        <v>44704</v>
      </c>
      <c r="L746" s="100">
        <v>23.43</v>
      </c>
      <c r="M746" s="106">
        <v>15.562</v>
      </c>
      <c r="N746" s="100">
        <v>51</v>
      </c>
      <c r="O746" s="100">
        <v>45</v>
      </c>
      <c r="P746" s="100">
        <v>66</v>
      </c>
      <c r="Q746" s="100">
        <v>25</v>
      </c>
      <c r="S746" s="105">
        <v>44704</v>
      </c>
      <c r="T746" s="106">
        <f t="shared" si="11"/>
        <v>-5.577</v>
      </c>
    </row>
    <row r="747" spans="3:20">
      <c r="C747" s="105">
        <v>44701</v>
      </c>
      <c r="D747" s="106">
        <v>9.814</v>
      </c>
      <c r="E747" s="100">
        <v>14.075</v>
      </c>
      <c r="F747" s="100">
        <v>-30</v>
      </c>
      <c r="G747" s="100">
        <v>-19</v>
      </c>
      <c r="H747" s="100">
        <v>1</v>
      </c>
      <c r="I747" s="100">
        <v>-39</v>
      </c>
      <c r="K747" s="105">
        <v>44701</v>
      </c>
      <c r="L747" s="100">
        <v>23.342</v>
      </c>
      <c r="M747" s="106">
        <v>15.399</v>
      </c>
      <c r="N747" s="100">
        <v>52</v>
      </c>
      <c r="O747" s="100">
        <v>45</v>
      </c>
      <c r="P747" s="100">
        <v>66</v>
      </c>
      <c r="Q747" s="100">
        <v>25</v>
      </c>
      <c r="S747" s="105">
        <v>44701</v>
      </c>
      <c r="T747" s="106">
        <f t="shared" si="11"/>
        <v>-5.585</v>
      </c>
    </row>
    <row r="748" spans="3:20">
      <c r="C748" s="105">
        <v>44700</v>
      </c>
      <c r="D748" s="106">
        <v>9.871</v>
      </c>
      <c r="E748" s="100">
        <v>14.098</v>
      </c>
      <c r="F748" s="100">
        <v>-30</v>
      </c>
      <c r="G748" s="100">
        <v>-19</v>
      </c>
      <c r="H748" s="100">
        <v>1</v>
      </c>
      <c r="I748" s="100">
        <v>-39</v>
      </c>
      <c r="K748" s="105">
        <v>44700</v>
      </c>
      <c r="L748" s="100">
        <v>23.013</v>
      </c>
      <c r="M748" s="106">
        <v>15.372</v>
      </c>
      <c r="N748" s="100">
        <v>50</v>
      </c>
      <c r="O748" s="100">
        <v>45</v>
      </c>
      <c r="P748" s="100">
        <v>66</v>
      </c>
      <c r="Q748" s="100">
        <v>25</v>
      </c>
      <c r="S748" s="105">
        <v>44700</v>
      </c>
      <c r="T748" s="106">
        <f t="shared" si="11"/>
        <v>-5.501</v>
      </c>
    </row>
    <row r="749" spans="3:20">
      <c r="C749" s="105">
        <v>44699</v>
      </c>
      <c r="D749" s="106">
        <v>10.075</v>
      </c>
      <c r="E749" s="100">
        <v>14.463</v>
      </c>
      <c r="F749" s="100">
        <v>-30</v>
      </c>
      <c r="G749" s="100">
        <v>-19</v>
      </c>
      <c r="H749" s="100">
        <v>1</v>
      </c>
      <c r="I749" s="100">
        <v>-39</v>
      </c>
      <c r="K749" s="105">
        <v>44699</v>
      </c>
      <c r="L749" s="100">
        <v>23.218</v>
      </c>
      <c r="M749" s="106">
        <v>15.714</v>
      </c>
      <c r="N749" s="100">
        <v>48</v>
      </c>
      <c r="O749" s="100">
        <v>45</v>
      </c>
      <c r="P749" s="100">
        <v>66</v>
      </c>
      <c r="Q749" s="100">
        <v>25</v>
      </c>
      <c r="S749" s="105">
        <v>44699</v>
      </c>
      <c r="T749" s="106">
        <f t="shared" si="11"/>
        <v>-5.639</v>
      </c>
    </row>
    <row r="750" spans="3:20">
      <c r="C750" s="105">
        <v>44698</v>
      </c>
      <c r="D750" s="106">
        <v>10.655</v>
      </c>
      <c r="E750" s="100">
        <v>14.805</v>
      </c>
      <c r="F750" s="100">
        <v>-28</v>
      </c>
      <c r="G750" s="100">
        <v>-19</v>
      </c>
      <c r="H750" s="100">
        <v>1</v>
      </c>
      <c r="I750" s="100">
        <v>-39</v>
      </c>
      <c r="K750" s="105">
        <v>44698</v>
      </c>
      <c r="L750" s="100">
        <v>23.546</v>
      </c>
      <c r="M750" s="106">
        <v>16.054</v>
      </c>
      <c r="N750" s="100">
        <v>47</v>
      </c>
      <c r="O750" s="100">
        <v>45</v>
      </c>
      <c r="P750" s="100">
        <v>66</v>
      </c>
      <c r="Q750" s="100">
        <v>25</v>
      </c>
      <c r="S750" s="105">
        <v>44698</v>
      </c>
      <c r="T750" s="106">
        <f t="shared" si="11"/>
        <v>-5.399</v>
      </c>
    </row>
    <row r="751" spans="3:20">
      <c r="C751" s="105">
        <v>44697</v>
      </c>
      <c r="D751" s="106">
        <v>10.56</v>
      </c>
      <c r="E751" s="100">
        <v>14.718</v>
      </c>
      <c r="F751" s="100">
        <v>-28</v>
      </c>
      <c r="G751" s="100">
        <v>-19</v>
      </c>
      <c r="H751" s="100">
        <v>1</v>
      </c>
      <c r="I751" s="100">
        <v>-39</v>
      </c>
      <c r="K751" s="105">
        <v>44697</v>
      </c>
      <c r="L751" s="100">
        <v>22.987</v>
      </c>
      <c r="M751" s="106">
        <v>15.899</v>
      </c>
      <c r="N751" s="100">
        <v>45</v>
      </c>
      <c r="O751" s="100">
        <v>45</v>
      </c>
      <c r="P751" s="100">
        <v>66</v>
      </c>
      <c r="Q751" s="100">
        <v>25</v>
      </c>
      <c r="S751" s="105">
        <v>44697</v>
      </c>
      <c r="T751" s="106">
        <f t="shared" si="11"/>
        <v>-5.339</v>
      </c>
    </row>
    <row r="752" spans="3:20">
      <c r="C752" s="105">
        <v>44694</v>
      </c>
      <c r="D752" s="106">
        <v>10.714</v>
      </c>
      <c r="E752" s="100">
        <v>14.607</v>
      </c>
      <c r="F752" s="100">
        <v>-27</v>
      </c>
      <c r="G752" s="100">
        <v>-19</v>
      </c>
      <c r="H752" s="100">
        <v>1</v>
      </c>
      <c r="I752" s="100">
        <v>-39</v>
      </c>
      <c r="K752" s="105">
        <v>44694</v>
      </c>
      <c r="L752" s="100">
        <v>23.104</v>
      </c>
      <c r="M752" s="106">
        <v>15.821</v>
      </c>
      <c r="N752" s="100">
        <v>46</v>
      </c>
      <c r="O752" s="100">
        <v>45</v>
      </c>
      <c r="P752" s="100">
        <v>66</v>
      </c>
      <c r="Q752" s="100">
        <v>25</v>
      </c>
      <c r="S752" s="105">
        <v>44694</v>
      </c>
      <c r="T752" s="106">
        <f t="shared" si="11"/>
        <v>-5.107</v>
      </c>
    </row>
    <row r="753" spans="3:20">
      <c r="C753" s="105">
        <v>44693</v>
      </c>
      <c r="D753" s="106">
        <v>10.503</v>
      </c>
      <c r="E753" s="100">
        <v>14.32</v>
      </c>
      <c r="F753" s="100">
        <v>-27</v>
      </c>
      <c r="G753" s="100">
        <v>-19</v>
      </c>
      <c r="H753" s="100">
        <v>1</v>
      </c>
      <c r="I753" s="100">
        <v>-39</v>
      </c>
      <c r="K753" s="105">
        <v>44693</v>
      </c>
      <c r="L753" s="100">
        <v>23.109</v>
      </c>
      <c r="M753" s="106">
        <v>15.575</v>
      </c>
      <c r="N753" s="100">
        <v>48</v>
      </c>
      <c r="O753" s="100">
        <v>45</v>
      </c>
      <c r="P753" s="100">
        <v>66</v>
      </c>
      <c r="Q753" s="100">
        <v>25</v>
      </c>
      <c r="S753" s="105">
        <v>44693</v>
      </c>
      <c r="T753" s="106">
        <f t="shared" si="11"/>
        <v>-5.072</v>
      </c>
    </row>
    <row r="754" spans="3:20">
      <c r="C754" s="105">
        <v>44692</v>
      </c>
      <c r="D754" s="106">
        <v>9.997</v>
      </c>
      <c r="E754" s="100">
        <v>13.969</v>
      </c>
      <c r="F754" s="100">
        <v>-28</v>
      </c>
      <c r="G754" s="100">
        <v>-19</v>
      </c>
      <c r="H754" s="100">
        <v>1</v>
      </c>
      <c r="I754" s="100">
        <v>-39</v>
      </c>
      <c r="K754" s="105">
        <v>44692</v>
      </c>
      <c r="L754" s="100">
        <v>23.122</v>
      </c>
      <c r="M754" s="106">
        <v>15.276</v>
      </c>
      <c r="N754" s="100">
        <v>51</v>
      </c>
      <c r="O754" s="100">
        <v>45</v>
      </c>
      <c r="P754" s="100">
        <v>66</v>
      </c>
      <c r="Q754" s="100">
        <v>25</v>
      </c>
      <c r="S754" s="105">
        <v>44692</v>
      </c>
      <c r="T754" s="106">
        <f t="shared" si="11"/>
        <v>-5.279</v>
      </c>
    </row>
    <row r="755" spans="3:20">
      <c r="C755" s="105">
        <v>44691</v>
      </c>
      <c r="D755" s="106">
        <v>9.836</v>
      </c>
      <c r="E755" s="100">
        <v>13.8</v>
      </c>
      <c r="F755" s="100">
        <v>-29</v>
      </c>
      <c r="G755" s="100">
        <v>-19</v>
      </c>
      <c r="H755" s="100">
        <v>1</v>
      </c>
      <c r="I755" s="100">
        <v>-39</v>
      </c>
      <c r="K755" s="105">
        <v>44691</v>
      </c>
      <c r="L755" s="100">
        <v>23.237</v>
      </c>
      <c r="M755" s="106">
        <v>15.148</v>
      </c>
      <c r="N755" s="100">
        <v>53</v>
      </c>
      <c r="O755" s="100">
        <v>45</v>
      </c>
      <c r="P755" s="100">
        <v>66</v>
      </c>
      <c r="Q755" s="100">
        <v>25</v>
      </c>
      <c r="S755" s="105">
        <v>44691</v>
      </c>
      <c r="T755" s="106">
        <f t="shared" si="11"/>
        <v>-5.312</v>
      </c>
    </row>
    <row r="756" spans="3:20">
      <c r="C756" s="105">
        <v>44690</v>
      </c>
      <c r="D756" s="106">
        <v>9.888</v>
      </c>
      <c r="E756" s="100">
        <v>13.752</v>
      </c>
      <c r="F756" s="100">
        <v>-28</v>
      </c>
      <c r="G756" s="100">
        <v>-19</v>
      </c>
      <c r="H756" s="100">
        <v>1</v>
      </c>
      <c r="I756" s="100">
        <v>-39</v>
      </c>
      <c r="K756" s="105">
        <v>44690</v>
      </c>
      <c r="L756" s="100">
        <v>22.603</v>
      </c>
      <c r="M756" s="106">
        <v>15.017</v>
      </c>
      <c r="N756" s="100">
        <v>51</v>
      </c>
      <c r="O756" s="100">
        <v>45</v>
      </c>
      <c r="P756" s="100">
        <v>66</v>
      </c>
      <c r="Q756" s="100">
        <v>25</v>
      </c>
      <c r="S756" s="105">
        <v>44690</v>
      </c>
      <c r="T756" s="106">
        <f t="shared" si="11"/>
        <v>-5.129</v>
      </c>
    </row>
    <row r="757" spans="3:20">
      <c r="C757" s="105">
        <v>44687</v>
      </c>
      <c r="D757" s="106">
        <v>10.397</v>
      </c>
      <c r="E757" s="100">
        <v>14.054</v>
      </c>
      <c r="F757" s="100">
        <v>-26</v>
      </c>
      <c r="G757" s="100">
        <v>-19</v>
      </c>
      <c r="H757" s="100">
        <v>1</v>
      </c>
      <c r="I757" s="100">
        <v>-39</v>
      </c>
      <c r="K757" s="105">
        <v>44687</v>
      </c>
      <c r="L757" s="100">
        <v>23.461</v>
      </c>
      <c r="M757" s="106">
        <v>15.398</v>
      </c>
      <c r="N757" s="100">
        <v>52</v>
      </c>
      <c r="O757" s="100">
        <v>45</v>
      </c>
      <c r="P757" s="100">
        <v>66</v>
      </c>
      <c r="Q757" s="100">
        <v>25</v>
      </c>
      <c r="S757" s="105">
        <v>44687</v>
      </c>
      <c r="T757" s="106">
        <f t="shared" si="11"/>
        <v>-5.001</v>
      </c>
    </row>
    <row r="758" spans="3:20">
      <c r="C758" s="105">
        <v>44686</v>
      </c>
      <c r="D758" s="106">
        <v>10.776</v>
      </c>
      <c r="E758" s="100">
        <v>14.254</v>
      </c>
      <c r="F758" s="100">
        <v>-24</v>
      </c>
      <c r="G758" s="100">
        <v>-19</v>
      </c>
      <c r="H758" s="100">
        <v>1</v>
      </c>
      <c r="I758" s="100">
        <v>-39</v>
      </c>
      <c r="K758" s="105">
        <v>44686</v>
      </c>
      <c r="L758" s="100">
        <v>23.928</v>
      </c>
      <c r="M758" s="106">
        <v>15.636</v>
      </c>
      <c r="N758" s="100">
        <v>53</v>
      </c>
      <c r="O758" s="100">
        <v>45</v>
      </c>
      <c r="P758" s="100">
        <v>66</v>
      </c>
      <c r="Q758" s="100">
        <v>25</v>
      </c>
      <c r="S758" s="105">
        <v>44686</v>
      </c>
      <c r="T758" s="106">
        <f t="shared" si="11"/>
        <v>-4.86</v>
      </c>
    </row>
    <row r="759" spans="3:20">
      <c r="C759" s="105">
        <v>44685</v>
      </c>
      <c r="D759" s="106">
        <v>10.817</v>
      </c>
      <c r="E759" s="100">
        <v>14.39</v>
      </c>
      <c r="F759" s="100">
        <v>-25</v>
      </c>
      <c r="G759" s="100">
        <v>-19</v>
      </c>
      <c r="H759" s="100">
        <v>1</v>
      </c>
      <c r="I759" s="100">
        <v>-39</v>
      </c>
      <c r="K759" s="105">
        <v>44685</v>
      </c>
      <c r="L759" s="100">
        <v>24.05</v>
      </c>
      <c r="M759" s="106">
        <v>15.77</v>
      </c>
      <c r="N759" s="100">
        <v>53</v>
      </c>
      <c r="O759" s="100">
        <v>45</v>
      </c>
      <c r="P759" s="100">
        <v>66</v>
      </c>
      <c r="Q759" s="100">
        <v>25</v>
      </c>
      <c r="S759" s="105">
        <v>44685</v>
      </c>
      <c r="T759" s="106">
        <f t="shared" si="11"/>
        <v>-4.953</v>
      </c>
    </row>
    <row r="760" spans="3:20">
      <c r="C760" s="105">
        <v>44684</v>
      </c>
      <c r="D760" s="106">
        <v>11.354</v>
      </c>
      <c r="E760" s="100">
        <v>14.741</v>
      </c>
      <c r="F760" s="100">
        <v>-23</v>
      </c>
      <c r="G760" s="100">
        <v>-19</v>
      </c>
      <c r="H760" s="100">
        <v>1</v>
      </c>
      <c r="I760" s="100">
        <v>-39</v>
      </c>
      <c r="K760" s="105">
        <v>44684</v>
      </c>
      <c r="L760" s="100">
        <v>24.912</v>
      </c>
      <c r="M760" s="106">
        <v>16.194</v>
      </c>
      <c r="N760" s="100">
        <v>54</v>
      </c>
      <c r="O760" s="100">
        <v>45</v>
      </c>
      <c r="P760" s="100">
        <v>66</v>
      </c>
      <c r="Q760" s="100">
        <v>25</v>
      </c>
      <c r="S760" s="105">
        <v>44684</v>
      </c>
      <c r="T760" s="106">
        <f t="shared" si="11"/>
        <v>-4.84</v>
      </c>
    </row>
    <row r="761" spans="3:20">
      <c r="C761" s="105">
        <v>44680</v>
      </c>
      <c r="D761" s="106">
        <v>11.239</v>
      </c>
      <c r="E761" s="100">
        <v>14.551</v>
      </c>
      <c r="F761" s="100">
        <v>-23</v>
      </c>
      <c r="G761" s="100">
        <v>-19</v>
      </c>
      <c r="H761" s="100">
        <v>1</v>
      </c>
      <c r="I761" s="100">
        <v>-39</v>
      </c>
      <c r="K761" s="105">
        <v>44680</v>
      </c>
      <c r="L761" s="100">
        <v>24.672</v>
      </c>
      <c r="M761" s="106">
        <v>15.997</v>
      </c>
      <c r="N761" s="100">
        <v>54</v>
      </c>
      <c r="O761" s="100">
        <v>45</v>
      </c>
      <c r="P761" s="100">
        <v>66</v>
      </c>
      <c r="Q761" s="100">
        <v>25</v>
      </c>
      <c r="S761" s="105">
        <v>44680</v>
      </c>
      <c r="T761" s="106">
        <f t="shared" si="11"/>
        <v>-4.758</v>
      </c>
    </row>
    <row r="762" spans="3:20">
      <c r="C762" s="105">
        <v>44679</v>
      </c>
      <c r="D762" s="106">
        <v>11.235</v>
      </c>
      <c r="E762" s="100">
        <v>14.537</v>
      </c>
      <c r="F762" s="100">
        <v>-23</v>
      </c>
      <c r="G762" s="100">
        <v>-19</v>
      </c>
      <c r="H762" s="100">
        <v>1</v>
      </c>
      <c r="I762" s="100">
        <v>-39</v>
      </c>
      <c r="K762" s="105">
        <v>44679</v>
      </c>
      <c r="L762" s="100">
        <v>24.33</v>
      </c>
      <c r="M762" s="106">
        <v>15.936</v>
      </c>
      <c r="N762" s="100">
        <v>53</v>
      </c>
      <c r="O762" s="100">
        <v>45</v>
      </c>
      <c r="P762" s="100">
        <v>66</v>
      </c>
      <c r="Q762" s="100">
        <v>25</v>
      </c>
      <c r="S762" s="105">
        <v>44679</v>
      </c>
      <c r="T762" s="106">
        <f t="shared" si="11"/>
        <v>-4.701</v>
      </c>
    </row>
    <row r="763" spans="3:20">
      <c r="C763" s="105">
        <v>44678</v>
      </c>
      <c r="D763" s="106">
        <v>10.955</v>
      </c>
      <c r="E763" s="100">
        <v>14.355</v>
      </c>
      <c r="F763" s="100">
        <v>-24</v>
      </c>
      <c r="G763" s="100">
        <v>-19</v>
      </c>
      <c r="H763" s="100">
        <v>1</v>
      </c>
      <c r="I763" s="100">
        <v>-39</v>
      </c>
      <c r="K763" s="105">
        <v>44678</v>
      </c>
      <c r="L763" s="100">
        <v>24.71</v>
      </c>
      <c r="M763" s="106">
        <v>15.834</v>
      </c>
      <c r="N763" s="100">
        <v>56</v>
      </c>
      <c r="O763" s="100">
        <v>45</v>
      </c>
      <c r="P763" s="100">
        <v>66</v>
      </c>
      <c r="Q763" s="100">
        <v>25</v>
      </c>
      <c r="S763" s="105">
        <v>44678</v>
      </c>
      <c r="T763" s="106">
        <f t="shared" si="11"/>
        <v>-4.879</v>
      </c>
    </row>
    <row r="764" spans="3:20">
      <c r="C764" s="105">
        <v>44677</v>
      </c>
      <c r="D764" s="106">
        <v>11.249</v>
      </c>
      <c r="E764" s="100">
        <v>14.422</v>
      </c>
      <c r="F764" s="100">
        <v>-22</v>
      </c>
      <c r="G764" s="100">
        <v>-19</v>
      </c>
      <c r="H764" s="100">
        <v>1</v>
      </c>
      <c r="I764" s="100">
        <v>-39</v>
      </c>
      <c r="K764" s="105">
        <v>44677</v>
      </c>
      <c r="L764" s="100">
        <v>24.817</v>
      </c>
      <c r="M764" s="106">
        <v>15.907</v>
      </c>
      <c r="N764" s="100">
        <v>56</v>
      </c>
      <c r="O764" s="100">
        <v>45</v>
      </c>
      <c r="P764" s="100">
        <v>66</v>
      </c>
      <c r="Q764" s="100">
        <v>25</v>
      </c>
      <c r="S764" s="105">
        <v>44677</v>
      </c>
      <c r="T764" s="106">
        <f t="shared" si="11"/>
        <v>-4.658</v>
      </c>
    </row>
    <row r="765" spans="3:20">
      <c r="C765" s="105">
        <v>44676</v>
      </c>
      <c r="D765" s="106">
        <v>11.837</v>
      </c>
      <c r="E765" s="100">
        <v>14.727</v>
      </c>
      <c r="F765" s="100">
        <v>-20</v>
      </c>
      <c r="G765" s="100">
        <v>-19</v>
      </c>
      <c r="H765" s="100">
        <v>1</v>
      </c>
      <c r="I765" s="100">
        <v>-39</v>
      </c>
      <c r="K765" s="105">
        <v>44676</v>
      </c>
      <c r="L765" s="100">
        <v>24.781</v>
      </c>
      <c r="M765" s="106">
        <v>16.163</v>
      </c>
      <c r="N765" s="100">
        <v>53</v>
      </c>
      <c r="O765" s="100">
        <v>45</v>
      </c>
      <c r="P765" s="100">
        <v>66</v>
      </c>
      <c r="Q765" s="100">
        <v>25</v>
      </c>
      <c r="S765" s="105">
        <v>44676</v>
      </c>
      <c r="T765" s="106">
        <f t="shared" si="11"/>
        <v>-4.326</v>
      </c>
    </row>
    <row r="766" spans="3:20">
      <c r="C766" s="105">
        <v>44673</v>
      </c>
      <c r="D766" s="106">
        <v>12.213</v>
      </c>
      <c r="E766" s="100">
        <v>15.018</v>
      </c>
      <c r="F766" s="100">
        <v>-19</v>
      </c>
      <c r="G766" s="100">
        <v>-19</v>
      </c>
      <c r="H766" s="100">
        <v>1</v>
      </c>
      <c r="I766" s="100">
        <v>-39</v>
      </c>
      <c r="K766" s="105">
        <v>44673</v>
      </c>
      <c r="L766" s="100">
        <v>24.649</v>
      </c>
      <c r="M766" s="106">
        <v>16.394</v>
      </c>
      <c r="N766" s="100">
        <v>50</v>
      </c>
      <c r="O766" s="100">
        <v>45</v>
      </c>
      <c r="P766" s="100">
        <v>66</v>
      </c>
      <c r="Q766" s="100">
        <v>25</v>
      </c>
      <c r="S766" s="105">
        <v>44673</v>
      </c>
      <c r="T766" s="106">
        <f t="shared" si="11"/>
        <v>-4.181</v>
      </c>
    </row>
    <row r="767" spans="3:20">
      <c r="C767" s="105">
        <v>44672</v>
      </c>
      <c r="D767" s="106">
        <v>12.42</v>
      </c>
      <c r="E767" s="100">
        <v>15.277</v>
      </c>
      <c r="F767" s="100">
        <v>-19</v>
      </c>
      <c r="G767" s="100">
        <v>-19</v>
      </c>
      <c r="H767" s="100">
        <v>1</v>
      </c>
      <c r="I767" s="100">
        <v>-39</v>
      </c>
      <c r="K767" s="105">
        <v>44672</v>
      </c>
      <c r="L767" s="100">
        <v>24.634</v>
      </c>
      <c r="M767" s="106">
        <v>16.614</v>
      </c>
      <c r="N767" s="100">
        <v>48</v>
      </c>
      <c r="O767" s="100">
        <v>45</v>
      </c>
      <c r="P767" s="100">
        <v>66</v>
      </c>
      <c r="Q767" s="100">
        <v>25</v>
      </c>
      <c r="S767" s="105">
        <v>44672</v>
      </c>
      <c r="T767" s="106">
        <f t="shared" si="11"/>
        <v>-4.194</v>
      </c>
    </row>
    <row r="768" spans="3:20">
      <c r="C768" s="105">
        <v>44671</v>
      </c>
      <c r="D768" s="106">
        <v>12.191</v>
      </c>
      <c r="E768" s="100">
        <v>15.095</v>
      </c>
      <c r="F768" s="100">
        <v>-19</v>
      </c>
      <c r="G768" s="100">
        <v>-19</v>
      </c>
      <c r="H768" s="100">
        <v>1</v>
      </c>
      <c r="I768" s="100">
        <v>-39</v>
      </c>
      <c r="K768" s="105">
        <v>44671</v>
      </c>
      <c r="L768" s="100">
        <v>24.917</v>
      </c>
      <c r="M768" s="106">
        <v>16.498</v>
      </c>
      <c r="N768" s="100">
        <v>51</v>
      </c>
      <c r="O768" s="100">
        <v>45</v>
      </c>
      <c r="P768" s="100">
        <v>66</v>
      </c>
      <c r="Q768" s="100">
        <v>25</v>
      </c>
      <c r="S768" s="105">
        <v>44671</v>
      </c>
      <c r="T768" s="106">
        <f t="shared" si="11"/>
        <v>-4.307</v>
      </c>
    </row>
    <row r="769" spans="3:20">
      <c r="C769" s="105">
        <v>44670</v>
      </c>
      <c r="D769" s="106">
        <v>12.072</v>
      </c>
      <c r="E769" s="100">
        <v>15.071</v>
      </c>
      <c r="F769" s="100">
        <v>-20</v>
      </c>
      <c r="G769" s="100">
        <v>-19</v>
      </c>
      <c r="H769" s="100">
        <v>1</v>
      </c>
      <c r="I769" s="100">
        <v>-39</v>
      </c>
      <c r="K769" s="105">
        <v>44670</v>
      </c>
      <c r="L769" s="100">
        <v>25.133</v>
      </c>
      <c r="M769" s="106">
        <v>16.508</v>
      </c>
      <c r="N769" s="100">
        <v>52</v>
      </c>
      <c r="O769" s="100">
        <v>45</v>
      </c>
      <c r="P769" s="100">
        <v>66</v>
      </c>
      <c r="Q769" s="100">
        <v>25</v>
      </c>
      <c r="S769" s="105">
        <v>44670</v>
      </c>
      <c r="T769" s="106">
        <f t="shared" si="11"/>
        <v>-4.436</v>
      </c>
    </row>
    <row r="770" spans="3:20">
      <c r="C770" s="105">
        <v>44665</v>
      </c>
      <c r="D770" s="106">
        <v>12.33</v>
      </c>
      <c r="E770" s="100">
        <v>15.034</v>
      </c>
      <c r="F770" s="100">
        <v>-18</v>
      </c>
      <c r="G770" s="100">
        <v>-19</v>
      </c>
      <c r="H770" s="100">
        <v>1</v>
      </c>
      <c r="I770" s="100">
        <v>-39</v>
      </c>
      <c r="K770" s="105">
        <v>44665</v>
      </c>
      <c r="L770" s="100">
        <v>25.736</v>
      </c>
      <c r="M770" s="106">
        <v>16.563</v>
      </c>
      <c r="N770" s="100">
        <v>55</v>
      </c>
      <c r="O770" s="100">
        <v>45</v>
      </c>
      <c r="P770" s="100">
        <v>66</v>
      </c>
      <c r="Q770" s="100">
        <v>25</v>
      </c>
      <c r="S770" s="105">
        <v>44665</v>
      </c>
      <c r="T770" s="106">
        <f t="shared" si="11"/>
        <v>-4.233</v>
      </c>
    </row>
    <row r="771" spans="3:20">
      <c r="C771" s="105">
        <v>44664</v>
      </c>
      <c r="D771" s="106">
        <v>12.338</v>
      </c>
      <c r="E771" s="100">
        <v>14.963</v>
      </c>
      <c r="F771" s="100">
        <v>-18</v>
      </c>
      <c r="G771" s="100">
        <v>-19</v>
      </c>
      <c r="H771" s="100">
        <v>1</v>
      </c>
      <c r="I771" s="100">
        <v>-39</v>
      </c>
      <c r="K771" s="105">
        <v>44664</v>
      </c>
      <c r="L771" s="100">
        <v>25.635</v>
      </c>
      <c r="M771" s="106">
        <v>16.488</v>
      </c>
      <c r="N771" s="100">
        <v>55</v>
      </c>
      <c r="O771" s="100">
        <v>45</v>
      </c>
      <c r="P771" s="100">
        <v>66</v>
      </c>
      <c r="Q771" s="100">
        <v>25</v>
      </c>
      <c r="S771" s="105">
        <v>44664</v>
      </c>
      <c r="T771" s="106">
        <f t="shared" si="11"/>
        <v>-4.15</v>
      </c>
    </row>
    <row r="772" spans="3:20">
      <c r="C772" s="105">
        <v>44663</v>
      </c>
      <c r="D772" s="106">
        <v>12.328</v>
      </c>
      <c r="E772" s="100">
        <v>14.915</v>
      </c>
      <c r="F772" s="100">
        <v>-17</v>
      </c>
      <c r="G772" s="100">
        <v>-19</v>
      </c>
      <c r="H772" s="100">
        <v>1</v>
      </c>
      <c r="I772" s="100">
        <v>-39</v>
      </c>
      <c r="K772" s="105">
        <v>44663</v>
      </c>
      <c r="L772" s="100">
        <v>25.823</v>
      </c>
      <c r="M772" s="106">
        <v>16.474</v>
      </c>
      <c r="N772" s="100">
        <v>57</v>
      </c>
      <c r="O772" s="100">
        <v>45</v>
      </c>
      <c r="P772" s="100">
        <v>66</v>
      </c>
      <c r="Q772" s="100">
        <v>25</v>
      </c>
      <c r="S772" s="105">
        <v>44663</v>
      </c>
      <c r="T772" s="106">
        <f t="shared" si="11"/>
        <v>-4.146</v>
      </c>
    </row>
    <row r="773" spans="3:20">
      <c r="C773" s="105">
        <v>44662</v>
      </c>
      <c r="D773" s="106">
        <v>12.068</v>
      </c>
      <c r="E773" s="100">
        <v>14.808</v>
      </c>
      <c r="F773" s="100">
        <v>-19</v>
      </c>
      <c r="G773" s="100">
        <v>-19</v>
      </c>
      <c r="H773" s="100">
        <v>1</v>
      </c>
      <c r="I773" s="100">
        <v>-39</v>
      </c>
      <c r="K773" s="105">
        <v>44662</v>
      </c>
      <c r="L773" s="100">
        <v>26.455</v>
      </c>
      <c r="M773" s="106">
        <v>16.472</v>
      </c>
      <c r="N773" s="100">
        <v>61</v>
      </c>
      <c r="O773" s="100">
        <v>45</v>
      </c>
      <c r="P773" s="100">
        <v>66</v>
      </c>
      <c r="Q773" s="100">
        <v>25</v>
      </c>
      <c r="S773" s="105">
        <v>44662</v>
      </c>
      <c r="T773" s="106">
        <f t="shared" si="11"/>
        <v>-4.404</v>
      </c>
    </row>
    <row r="774" spans="3:20">
      <c r="C774" s="105">
        <v>44659</v>
      </c>
      <c r="D774" s="106">
        <v>12.304</v>
      </c>
      <c r="E774" s="100">
        <v>14.759</v>
      </c>
      <c r="F774" s="100">
        <v>-17</v>
      </c>
      <c r="G774" s="100">
        <v>-19</v>
      </c>
      <c r="H774" s="100">
        <v>1</v>
      </c>
      <c r="I774" s="100">
        <v>-39</v>
      </c>
      <c r="K774" s="105">
        <v>44659</v>
      </c>
      <c r="L774" s="100">
        <v>26.807</v>
      </c>
      <c r="M774" s="106">
        <v>16.48</v>
      </c>
      <c r="N774" s="100">
        <v>63</v>
      </c>
      <c r="O774" s="100">
        <v>45</v>
      </c>
      <c r="P774" s="100">
        <v>66</v>
      </c>
      <c r="Q774" s="100">
        <v>25</v>
      </c>
      <c r="S774" s="105">
        <v>44659</v>
      </c>
      <c r="T774" s="106">
        <f t="shared" si="11"/>
        <v>-4.176</v>
      </c>
    </row>
    <row r="775" spans="3:20">
      <c r="C775" s="105">
        <v>44658</v>
      </c>
      <c r="D775" s="106">
        <v>12.149</v>
      </c>
      <c r="E775" s="100">
        <v>14.619</v>
      </c>
      <c r="F775" s="100">
        <v>-17</v>
      </c>
      <c r="G775" s="100">
        <v>-19</v>
      </c>
      <c r="H775" s="100">
        <v>1</v>
      </c>
      <c r="I775" s="100">
        <v>-39</v>
      </c>
      <c r="K775" s="105">
        <v>44658</v>
      </c>
      <c r="L775" s="100">
        <v>26.59</v>
      </c>
      <c r="M775" s="106">
        <v>16.329</v>
      </c>
      <c r="N775" s="100">
        <v>63</v>
      </c>
      <c r="O775" s="100">
        <v>45</v>
      </c>
      <c r="P775" s="100">
        <v>66</v>
      </c>
      <c r="Q775" s="100">
        <v>25</v>
      </c>
      <c r="S775" s="105">
        <v>44658</v>
      </c>
      <c r="T775" s="106">
        <f t="shared" si="11"/>
        <v>-4.18</v>
      </c>
    </row>
    <row r="776" spans="3:20">
      <c r="C776" s="105">
        <v>44657</v>
      </c>
      <c r="D776" s="106">
        <v>12.228</v>
      </c>
      <c r="E776" s="100">
        <v>14.658</v>
      </c>
      <c r="F776" s="100">
        <v>-17</v>
      </c>
      <c r="G776" s="100">
        <v>-19</v>
      </c>
      <c r="H776" s="100">
        <v>1</v>
      </c>
      <c r="I776" s="100">
        <v>-39</v>
      </c>
      <c r="K776" s="105">
        <v>44657</v>
      </c>
      <c r="L776" s="100">
        <v>26.52</v>
      </c>
      <c r="M776" s="106">
        <v>16.353</v>
      </c>
      <c r="N776" s="100">
        <v>62</v>
      </c>
      <c r="O776" s="100">
        <v>45</v>
      </c>
      <c r="P776" s="100">
        <v>66</v>
      </c>
      <c r="Q776" s="100">
        <v>25</v>
      </c>
      <c r="S776" s="105">
        <v>44657</v>
      </c>
      <c r="T776" s="106">
        <f t="shared" si="11"/>
        <v>-4.125</v>
      </c>
    </row>
    <row r="777" spans="3:20">
      <c r="C777" s="105">
        <v>44656</v>
      </c>
      <c r="D777" s="106">
        <v>12.888</v>
      </c>
      <c r="E777" s="100">
        <v>14.958</v>
      </c>
      <c r="F777" s="100">
        <v>-14</v>
      </c>
      <c r="G777" s="100">
        <v>-19</v>
      </c>
      <c r="H777" s="100">
        <v>1</v>
      </c>
      <c r="I777" s="100">
        <v>-39</v>
      </c>
      <c r="K777" s="105">
        <v>44656</v>
      </c>
      <c r="L777" s="100">
        <v>26.444</v>
      </c>
      <c r="M777" s="106">
        <v>16.599</v>
      </c>
      <c r="N777" s="100">
        <v>59</v>
      </c>
      <c r="O777" s="100">
        <v>45</v>
      </c>
      <c r="P777" s="100">
        <v>66</v>
      </c>
      <c r="Q777" s="100">
        <v>25</v>
      </c>
      <c r="S777" s="105">
        <v>44656</v>
      </c>
      <c r="T777" s="106">
        <f t="shared" si="11"/>
        <v>-3.711</v>
      </c>
    </row>
    <row r="778" spans="3:20">
      <c r="C778" s="105">
        <v>44655</v>
      </c>
      <c r="D778" s="106">
        <v>13.072</v>
      </c>
      <c r="E778" s="100">
        <v>14.959</v>
      </c>
      <c r="F778" s="100">
        <v>-13</v>
      </c>
      <c r="G778" s="100">
        <v>-19</v>
      </c>
      <c r="H778" s="100">
        <v>1</v>
      </c>
      <c r="I778" s="100">
        <v>-39</v>
      </c>
      <c r="K778" s="105">
        <v>44655</v>
      </c>
      <c r="L778" s="100">
        <v>25.761</v>
      </c>
      <c r="M778" s="106">
        <v>16.502</v>
      </c>
      <c r="N778" s="100">
        <v>56</v>
      </c>
      <c r="O778" s="100">
        <v>45</v>
      </c>
      <c r="P778" s="100">
        <v>66</v>
      </c>
      <c r="Q778" s="100">
        <v>25</v>
      </c>
      <c r="S778" s="105">
        <v>44655</v>
      </c>
      <c r="T778" s="106">
        <f t="shared" si="11"/>
        <v>-3.43</v>
      </c>
    </row>
    <row r="779" spans="3:20">
      <c r="C779" s="105">
        <v>44652</v>
      </c>
      <c r="D779" s="106">
        <v>12.634</v>
      </c>
      <c r="E779" s="100">
        <v>14.763</v>
      </c>
      <c r="F779" s="100">
        <v>-14</v>
      </c>
      <c r="G779" s="100">
        <v>-19</v>
      </c>
      <c r="H779" s="100">
        <v>1</v>
      </c>
      <c r="I779" s="100">
        <v>-39</v>
      </c>
      <c r="K779" s="105">
        <v>44652</v>
      </c>
      <c r="L779" s="100">
        <v>25.607</v>
      </c>
      <c r="M779" s="106">
        <v>16.312</v>
      </c>
      <c r="N779" s="100">
        <v>57</v>
      </c>
      <c r="O779" s="100">
        <v>45</v>
      </c>
      <c r="P779" s="100">
        <v>66</v>
      </c>
      <c r="Q779" s="100">
        <v>25</v>
      </c>
      <c r="S779" s="105">
        <v>44652</v>
      </c>
      <c r="T779" s="106">
        <f t="shared" si="11"/>
        <v>-3.678</v>
      </c>
    </row>
    <row r="780" spans="3:20">
      <c r="C780" s="105">
        <v>44651</v>
      </c>
      <c r="D780" s="106">
        <v>12.425</v>
      </c>
      <c r="E780" s="100">
        <v>14.46</v>
      </c>
      <c r="F780" s="100">
        <v>-14</v>
      </c>
      <c r="G780" s="100">
        <v>-19</v>
      </c>
      <c r="H780" s="100">
        <v>1</v>
      </c>
      <c r="I780" s="100">
        <v>-39</v>
      </c>
      <c r="K780" s="105">
        <v>44651</v>
      </c>
      <c r="L780" s="100">
        <v>25.236</v>
      </c>
      <c r="M780" s="106">
        <v>15.999</v>
      </c>
      <c r="N780" s="100">
        <v>58</v>
      </c>
      <c r="O780" s="100">
        <v>45</v>
      </c>
      <c r="P780" s="100">
        <v>66</v>
      </c>
      <c r="Q780" s="100">
        <v>25</v>
      </c>
      <c r="S780" s="105">
        <v>44651</v>
      </c>
      <c r="T780" s="106">
        <f t="shared" si="11"/>
        <v>-3.574</v>
      </c>
    </row>
    <row r="781" spans="3:20">
      <c r="C781" s="105">
        <v>44650</v>
      </c>
      <c r="D781" s="106">
        <v>12.818</v>
      </c>
      <c r="E781" s="100">
        <v>15.222</v>
      </c>
      <c r="F781" s="100">
        <v>-16</v>
      </c>
      <c r="G781" s="100">
        <v>-19</v>
      </c>
      <c r="H781" s="100">
        <v>1</v>
      </c>
      <c r="I781" s="100">
        <v>-39</v>
      </c>
      <c r="K781" s="105">
        <v>44650</v>
      </c>
      <c r="L781" s="100">
        <v>25.077</v>
      </c>
      <c r="M781" s="106">
        <v>16.63</v>
      </c>
      <c r="N781" s="100">
        <v>51</v>
      </c>
      <c r="O781" s="100">
        <v>45</v>
      </c>
      <c r="P781" s="100">
        <v>66</v>
      </c>
      <c r="Q781" s="100">
        <v>25</v>
      </c>
      <c r="S781" s="105">
        <v>44650</v>
      </c>
      <c r="T781" s="106">
        <f t="shared" si="11"/>
        <v>-3.812</v>
      </c>
    </row>
    <row r="782" spans="3:20">
      <c r="C782" s="105">
        <v>44649</v>
      </c>
      <c r="D782" s="106">
        <v>13.446</v>
      </c>
      <c r="E782" s="100">
        <v>15.657</v>
      </c>
      <c r="F782" s="100">
        <v>-14</v>
      </c>
      <c r="G782" s="100">
        <v>-19</v>
      </c>
      <c r="H782" s="100">
        <v>1</v>
      </c>
      <c r="I782" s="100">
        <v>-39</v>
      </c>
      <c r="K782" s="105">
        <v>44649</v>
      </c>
      <c r="L782" s="100">
        <v>24.95</v>
      </c>
      <c r="M782" s="106">
        <v>16.985</v>
      </c>
      <c r="N782" s="100">
        <v>47</v>
      </c>
      <c r="O782" s="100">
        <v>45</v>
      </c>
      <c r="P782" s="100">
        <v>66</v>
      </c>
      <c r="Q782" s="100">
        <v>25</v>
      </c>
      <c r="S782" s="105">
        <v>44649</v>
      </c>
      <c r="T782" s="106">
        <f t="shared" si="11"/>
        <v>-3.539</v>
      </c>
    </row>
    <row r="783" spans="3:20">
      <c r="C783" s="105">
        <v>44648</v>
      </c>
      <c r="D783" s="106">
        <v>12.736</v>
      </c>
      <c r="E783" s="100">
        <v>15.001</v>
      </c>
      <c r="F783" s="100">
        <v>-15</v>
      </c>
      <c r="G783" s="100">
        <v>-19</v>
      </c>
      <c r="H783" s="100">
        <v>1</v>
      </c>
      <c r="I783" s="100">
        <v>-39</v>
      </c>
      <c r="K783" s="105">
        <v>44648</v>
      </c>
      <c r="L783" s="100">
        <v>24.95</v>
      </c>
      <c r="M783" s="106">
        <v>16.422</v>
      </c>
      <c r="N783" s="100">
        <v>52</v>
      </c>
      <c r="O783" s="100">
        <v>45</v>
      </c>
      <c r="P783" s="100">
        <v>66</v>
      </c>
      <c r="Q783" s="100">
        <v>25</v>
      </c>
      <c r="S783" s="105">
        <v>44648</v>
      </c>
      <c r="T783" s="106">
        <f t="shared" si="11"/>
        <v>-3.686</v>
      </c>
    </row>
    <row r="784" spans="3:20">
      <c r="C784" s="105">
        <v>44645</v>
      </c>
      <c r="D784" s="106">
        <v>12.604</v>
      </c>
      <c r="E784" s="100">
        <v>14.963</v>
      </c>
      <c r="F784" s="100">
        <v>-16</v>
      </c>
      <c r="G784" s="100">
        <v>-19</v>
      </c>
      <c r="H784" s="100">
        <v>1</v>
      </c>
      <c r="I784" s="100">
        <v>-39</v>
      </c>
      <c r="K784" s="105">
        <v>44645</v>
      </c>
      <c r="L784" s="100">
        <v>24.858</v>
      </c>
      <c r="M784" s="106">
        <v>16.377</v>
      </c>
      <c r="N784" s="100">
        <v>52</v>
      </c>
      <c r="O784" s="100">
        <v>45</v>
      </c>
      <c r="P784" s="100">
        <v>66</v>
      </c>
      <c r="Q784" s="100">
        <v>25</v>
      </c>
      <c r="S784" s="105">
        <v>44645</v>
      </c>
      <c r="T784" s="106">
        <f t="shared" si="11"/>
        <v>-3.773</v>
      </c>
    </row>
    <row r="785" spans="3:20">
      <c r="C785" s="105">
        <v>44644</v>
      </c>
      <c r="D785" s="106">
        <v>12.39</v>
      </c>
      <c r="E785" s="100">
        <v>14.67</v>
      </c>
      <c r="F785" s="100">
        <v>-16</v>
      </c>
      <c r="G785" s="100">
        <v>-19</v>
      </c>
      <c r="H785" s="100">
        <v>1</v>
      </c>
      <c r="I785" s="100">
        <v>-39</v>
      </c>
      <c r="K785" s="105">
        <v>44644</v>
      </c>
      <c r="L785" s="100">
        <v>24.882</v>
      </c>
      <c r="M785" s="106">
        <v>16.129</v>
      </c>
      <c r="N785" s="100">
        <v>54</v>
      </c>
      <c r="O785" s="100">
        <v>45</v>
      </c>
      <c r="P785" s="100">
        <v>66</v>
      </c>
      <c r="Q785" s="100">
        <v>25</v>
      </c>
      <c r="S785" s="105">
        <v>44644</v>
      </c>
      <c r="T785" s="106">
        <f t="shared" si="11"/>
        <v>-3.739</v>
      </c>
    </row>
    <row r="786" spans="3:20">
      <c r="C786" s="105">
        <v>44643</v>
      </c>
      <c r="D786" s="106">
        <v>12.725</v>
      </c>
      <c r="E786" s="100">
        <v>14.813</v>
      </c>
      <c r="F786" s="100">
        <v>-14</v>
      </c>
      <c r="G786" s="100">
        <v>-19</v>
      </c>
      <c r="H786" s="100">
        <v>1</v>
      </c>
      <c r="I786" s="100">
        <v>-39</v>
      </c>
      <c r="K786" s="105">
        <v>44643</v>
      </c>
      <c r="L786" s="100">
        <v>24.918</v>
      </c>
      <c r="M786" s="106">
        <v>16.256</v>
      </c>
      <c r="N786" s="100">
        <v>53</v>
      </c>
      <c r="O786" s="100">
        <v>45</v>
      </c>
      <c r="P786" s="100">
        <v>66</v>
      </c>
      <c r="Q786" s="100">
        <v>25</v>
      </c>
      <c r="S786" s="105">
        <v>44643</v>
      </c>
      <c r="T786" s="106">
        <f t="shared" si="11"/>
        <v>-3.531</v>
      </c>
    </row>
    <row r="787" spans="3:20">
      <c r="C787" s="105">
        <v>44642</v>
      </c>
      <c r="D787" s="106">
        <v>12.871</v>
      </c>
      <c r="E787" s="100">
        <v>14.873</v>
      </c>
      <c r="F787" s="100">
        <v>-13</v>
      </c>
      <c r="G787" s="100">
        <v>-19</v>
      </c>
      <c r="H787" s="100">
        <v>1</v>
      </c>
      <c r="I787" s="100">
        <v>-39</v>
      </c>
      <c r="K787" s="105">
        <v>44642</v>
      </c>
      <c r="L787" s="100">
        <v>25.319</v>
      </c>
      <c r="M787" s="106">
        <v>16.366</v>
      </c>
      <c r="N787" s="100">
        <v>55</v>
      </c>
      <c r="O787" s="100">
        <v>45</v>
      </c>
      <c r="P787" s="100">
        <v>66</v>
      </c>
      <c r="Q787" s="100">
        <v>25</v>
      </c>
      <c r="S787" s="105">
        <v>44642</v>
      </c>
      <c r="T787" s="106">
        <f t="shared" si="11"/>
        <v>-3.495</v>
      </c>
    </row>
    <row r="788" spans="3:20">
      <c r="C788" s="105">
        <v>44641</v>
      </c>
      <c r="D788" s="106">
        <v>12.505</v>
      </c>
      <c r="E788" s="100">
        <v>14.72</v>
      </c>
      <c r="F788" s="100">
        <v>-15</v>
      </c>
      <c r="G788" s="100">
        <v>-19</v>
      </c>
      <c r="H788" s="100">
        <v>1</v>
      </c>
      <c r="I788" s="100">
        <v>-39</v>
      </c>
      <c r="K788" s="105">
        <v>44641</v>
      </c>
      <c r="L788" s="100">
        <v>25.068</v>
      </c>
      <c r="M788" s="106">
        <v>16.198</v>
      </c>
      <c r="N788" s="100">
        <v>55</v>
      </c>
      <c r="O788" s="100">
        <v>45</v>
      </c>
      <c r="P788" s="100">
        <v>66</v>
      </c>
      <c r="Q788" s="100">
        <v>25</v>
      </c>
      <c r="S788" s="105">
        <v>44641</v>
      </c>
      <c r="T788" s="106">
        <f t="shared" si="11"/>
        <v>-3.693</v>
      </c>
    </row>
    <row r="789" spans="3:20">
      <c r="C789" s="105">
        <v>44638</v>
      </c>
      <c r="D789" s="106">
        <v>12.692</v>
      </c>
      <c r="E789" s="100">
        <v>14.804</v>
      </c>
      <c r="F789" s="100">
        <v>-14</v>
      </c>
      <c r="G789" s="100">
        <v>-19</v>
      </c>
      <c r="H789" s="100">
        <v>1</v>
      </c>
      <c r="I789" s="100">
        <v>-39</v>
      </c>
      <c r="K789" s="105">
        <v>44638</v>
      </c>
      <c r="L789" s="100">
        <v>25.273</v>
      </c>
      <c r="M789" s="106">
        <v>16.3</v>
      </c>
      <c r="N789" s="100">
        <v>55</v>
      </c>
      <c r="O789" s="100">
        <v>45</v>
      </c>
      <c r="P789" s="100">
        <v>66</v>
      </c>
      <c r="Q789" s="100">
        <v>25</v>
      </c>
      <c r="S789" s="105">
        <v>44638</v>
      </c>
      <c r="T789" s="106">
        <f t="shared" si="11"/>
        <v>-3.608</v>
      </c>
    </row>
    <row r="790" spans="3:20">
      <c r="C790" s="105">
        <v>44637</v>
      </c>
      <c r="D790" s="106">
        <v>12.52</v>
      </c>
      <c r="E790" s="100">
        <v>14.667</v>
      </c>
      <c r="F790" s="100">
        <v>-15</v>
      </c>
      <c r="G790" s="100">
        <v>-19</v>
      </c>
      <c r="H790" s="100">
        <v>1</v>
      </c>
      <c r="I790" s="100">
        <v>-39</v>
      </c>
      <c r="K790" s="105">
        <v>44637</v>
      </c>
      <c r="L790" s="100">
        <v>24.8</v>
      </c>
      <c r="M790" s="106">
        <v>16.114</v>
      </c>
      <c r="N790" s="100">
        <v>54</v>
      </c>
      <c r="O790" s="100">
        <v>45</v>
      </c>
      <c r="P790" s="100">
        <v>66</v>
      </c>
      <c r="Q790" s="100">
        <v>25</v>
      </c>
      <c r="S790" s="105">
        <v>44637</v>
      </c>
      <c r="T790" s="106">
        <f t="shared" ref="T790:T853" si="12">D790-M790</f>
        <v>-3.594</v>
      </c>
    </row>
    <row r="791" spans="3:20">
      <c r="C791" s="105">
        <v>44636</v>
      </c>
      <c r="D791" s="106">
        <v>12.523</v>
      </c>
      <c r="E791" s="100">
        <v>14.695</v>
      </c>
      <c r="F791" s="100">
        <v>-15</v>
      </c>
      <c r="G791" s="100">
        <v>-19</v>
      </c>
      <c r="H791" s="100">
        <v>1</v>
      </c>
      <c r="I791" s="100">
        <v>-39</v>
      </c>
      <c r="K791" s="105">
        <v>44636</v>
      </c>
      <c r="L791" s="100">
        <v>25.111</v>
      </c>
      <c r="M791" s="106">
        <v>16.183</v>
      </c>
      <c r="N791" s="100">
        <v>55</v>
      </c>
      <c r="O791" s="100">
        <v>45</v>
      </c>
      <c r="P791" s="100">
        <v>66</v>
      </c>
      <c r="Q791" s="100">
        <v>25</v>
      </c>
      <c r="S791" s="105">
        <v>44636</v>
      </c>
      <c r="T791" s="106">
        <f t="shared" si="12"/>
        <v>-3.66</v>
      </c>
    </row>
    <row r="792" spans="3:20">
      <c r="C792" s="105">
        <v>44635</v>
      </c>
      <c r="D792" s="106">
        <v>11.917</v>
      </c>
      <c r="E792" s="100">
        <v>14.249</v>
      </c>
      <c r="F792" s="100">
        <v>-16</v>
      </c>
      <c r="G792" s="100">
        <v>-19</v>
      </c>
      <c r="H792" s="100">
        <v>1</v>
      </c>
      <c r="I792" s="100">
        <v>-39</v>
      </c>
      <c r="K792" s="105">
        <v>44635</v>
      </c>
      <c r="L792" s="100">
        <v>24.361</v>
      </c>
      <c r="M792" s="106">
        <v>15.693</v>
      </c>
      <c r="N792" s="100">
        <v>55</v>
      </c>
      <c r="O792" s="100">
        <v>45</v>
      </c>
      <c r="P792" s="100">
        <v>66</v>
      </c>
      <c r="Q792" s="100">
        <v>25</v>
      </c>
      <c r="S792" s="105">
        <v>44635</v>
      </c>
      <c r="T792" s="106">
        <f t="shared" si="12"/>
        <v>-3.776</v>
      </c>
    </row>
    <row r="793" spans="3:20">
      <c r="C793" s="105">
        <v>44634</v>
      </c>
      <c r="D793" s="106">
        <v>12.147</v>
      </c>
      <c r="E793" s="100">
        <v>14.411</v>
      </c>
      <c r="F793" s="100">
        <v>-16</v>
      </c>
      <c r="G793" s="100">
        <v>-19</v>
      </c>
      <c r="H793" s="100">
        <v>1</v>
      </c>
      <c r="I793" s="100">
        <v>-39</v>
      </c>
      <c r="K793" s="105">
        <v>44634</v>
      </c>
      <c r="L793" s="100">
        <v>24.527</v>
      </c>
      <c r="M793" s="106">
        <v>15.856</v>
      </c>
      <c r="N793" s="100">
        <v>55</v>
      </c>
      <c r="O793" s="100">
        <v>45</v>
      </c>
      <c r="P793" s="100">
        <v>66</v>
      </c>
      <c r="Q793" s="100">
        <v>25</v>
      </c>
      <c r="S793" s="105">
        <v>44634</v>
      </c>
      <c r="T793" s="106">
        <f t="shared" si="12"/>
        <v>-3.709</v>
      </c>
    </row>
    <row r="794" spans="3:20">
      <c r="C794" s="105">
        <v>44631</v>
      </c>
      <c r="D794" s="106">
        <v>11.705</v>
      </c>
      <c r="E794" s="100">
        <v>13.938</v>
      </c>
      <c r="F794" s="100">
        <v>-16</v>
      </c>
      <c r="G794" s="100">
        <v>-19</v>
      </c>
      <c r="H794" s="100">
        <v>1</v>
      </c>
      <c r="I794" s="100">
        <v>-39</v>
      </c>
      <c r="K794" s="105">
        <v>44631</v>
      </c>
      <c r="L794" s="100">
        <v>23.665</v>
      </c>
      <c r="M794" s="106">
        <v>15.327</v>
      </c>
      <c r="N794" s="100">
        <v>54</v>
      </c>
      <c r="O794" s="100">
        <v>45</v>
      </c>
      <c r="P794" s="100">
        <v>66</v>
      </c>
      <c r="Q794" s="100">
        <v>25</v>
      </c>
      <c r="S794" s="105">
        <v>44631</v>
      </c>
      <c r="T794" s="106">
        <f t="shared" si="12"/>
        <v>-3.622</v>
      </c>
    </row>
    <row r="795" spans="3:20">
      <c r="C795" s="105">
        <v>44630</v>
      </c>
      <c r="D795" s="106">
        <v>11.776</v>
      </c>
      <c r="E795" s="100">
        <v>13.665</v>
      </c>
      <c r="F795" s="100">
        <v>-14</v>
      </c>
      <c r="G795" s="100">
        <v>-19</v>
      </c>
      <c r="H795" s="100">
        <v>1</v>
      </c>
      <c r="I795" s="100">
        <v>-39</v>
      </c>
      <c r="K795" s="105">
        <v>44630</v>
      </c>
      <c r="L795" s="100">
        <v>23.273</v>
      </c>
      <c r="M795" s="106">
        <v>15.037</v>
      </c>
      <c r="N795" s="100">
        <v>55</v>
      </c>
      <c r="O795" s="100">
        <v>45</v>
      </c>
      <c r="P795" s="100">
        <v>66</v>
      </c>
      <c r="Q795" s="100">
        <v>25</v>
      </c>
      <c r="S795" s="105">
        <v>44630</v>
      </c>
      <c r="T795" s="106">
        <f t="shared" si="12"/>
        <v>-3.261</v>
      </c>
    </row>
    <row r="796" spans="3:20">
      <c r="C796" s="105">
        <v>44629</v>
      </c>
      <c r="D796" s="106">
        <v>12.072</v>
      </c>
      <c r="E796" s="100">
        <v>14.202</v>
      </c>
      <c r="F796" s="100">
        <v>-15</v>
      </c>
      <c r="G796" s="100">
        <v>-19</v>
      </c>
      <c r="H796" s="100">
        <v>1</v>
      </c>
      <c r="I796" s="100">
        <v>-39</v>
      </c>
      <c r="K796" s="105">
        <v>44629</v>
      </c>
      <c r="L796" s="100">
        <v>23.171</v>
      </c>
      <c r="M796" s="106">
        <v>15.483</v>
      </c>
      <c r="N796" s="100">
        <v>50</v>
      </c>
      <c r="O796" s="100">
        <v>45</v>
      </c>
      <c r="P796" s="100">
        <v>66</v>
      </c>
      <c r="Q796" s="100">
        <v>25</v>
      </c>
      <c r="S796" s="105">
        <v>44629</v>
      </c>
      <c r="T796" s="106">
        <f t="shared" si="12"/>
        <v>-3.411</v>
      </c>
    </row>
    <row r="797" spans="3:20">
      <c r="C797" s="105">
        <v>44628</v>
      </c>
      <c r="D797" s="106">
        <v>10.998</v>
      </c>
      <c r="E797" s="100">
        <v>13.338</v>
      </c>
      <c r="F797" s="100">
        <v>-18</v>
      </c>
      <c r="G797" s="100">
        <v>-19</v>
      </c>
      <c r="H797" s="100">
        <v>1</v>
      </c>
      <c r="I797" s="100">
        <v>-39</v>
      </c>
      <c r="K797" s="105">
        <v>44628</v>
      </c>
      <c r="L797" s="100">
        <v>22.259</v>
      </c>
      <c r="M797" s="106">
        <v>14.612</v>
      </c>
      <c r="N797" s="100">
        <v>52</v>
      </c>
      <c r="O797" s="100">
        <v>45</v>
      </c>
      <c r="P797" s="100">
        <v>66</v>
      </c>
      <c r="Q797" s="100">
        <v>25</v>
      </c>
      <c r="S797" s="105">
        <v>44628</v>
      </c>
      <c r="T797" s="106">
        <f t="shared" si="12"/>
        <v>-3.614</v>
      </c>
    </row>
    <row r="798" spans="3:20">
      <c r="C798" s="105">
        <v>44627</v>
      </c>
      <c r="D798" s="106">
        <v>11.009</v>
      </c>
      <c r="E798" s="100">
        <v>12.843</v>
      </c>
      <c r="F798" s="100">
        <v>-14</v>
      </c>
      <c r="G798" s="100">
        <v>-19</v>
      </c>
      <c r="H798" s="100">
        <v>1</v>
      </c>
      <c r="I798" s="100">
        <v>-39</v>
      </c>
      <c r="K798" s="105">
        <v>44627</v>
      </c>
      <c r="L798" s="100">
        <v>23.507</v>
      </c>
      <c r="M798" s="106">
        <v>14.367</v>
      </c>
      <c r="N798" s="100">
        <v>64</v>
      </c>
      <c r="O798" s="100">
        <v>45</v>
      </c>
      <c r="P798" s="100">
        <v>66</v>
      </c>
      <c r="Q798" s="100">
        <v>25</v>
      </c>
      <c r="S798" s="105">
        <v>44627</v>
      </c>
      <c r="T798" s="106">
        <f t="shared" si="12"/>
        <v>-3.358</v>
      </c>
    </row>
    <row r="799" spans="3:20">
      <c r="C799" s="105">
        <v>44624</v>
      </c>
      <c r="D799" s="106">
        <v>10.989</v>
      </c>
      <c r="E799" s="100">
        <v>13.143</v>
      </c>
      <c r="F799" s="100">
        <v>-16</v>
      </c>
      <c r="G799" s="100">
        <v>-19</v>
      </c>
      <c r="H799" s="100">
        <v>1</v>
      </c>
      <c r="I799" s="100">
        <v>-39</v>
      </c>
      <c r="K799" s="105">
        <v>44624</v>
      </c>
      <c r="L799" s="100">
        <v>23.194</v>
      </c>
      <c r="M799" s="106">
        <v>14.579</v>
      </c>
      <c r="N799" s="100">
        <v>59</v>
      </c>
      <c r="O799" s="100">
        <v>45</v>
      </c>
      <c r="P799" s="100">
        <v>66</v>
      </c>
      <c r="Q799" s="100">
        <v>25</v>
      </c>
      <c r="S799" s="105">
        <v>44624</v>
      </c>
      <c r="T799" s="106">
        <f t="shared" si="12"/>
        <v>-3.59</v>
      </c>
    </row>
    <row r="800" spans="3:20">
      <c r="C800" s="105">
        <v>44623</v>
      </c>
      <c r="D800" s="106">
        <v>11.783</v>
      </c>
      <c r="E800" s="100">
        <v>13.722</v>
      </c>
      <c r="F800" s="100">
        <v>-14</v>
      </c>
      <c r="G800" s="100">
        <v>-19</v>
      </c>
      <c r="H800" s="100">
        <v>1</v>
      </c>
      <c r="I800" s="100">
        <v>-39</v>
      </c>
      <c r="K800" s="105">
        <v>44623</v>
      </c>
      <c r="L800" s="100">
        <v>22.68</v>
      </c>
      <c r="M800" s="106">
        <v>15.002</v>
      </c>
      <c r="N800" s="100">
        <v>51</v>
      </c>
      <c r="O800" s="100">
        <v>45</v>
      </c>
      <c r="P800" s="100">
        <v>66</v>
      </c>
      <c r="Q800" s="100">
        <v>25</v>
      </c>
      <c r="S800" s="105">
        <v>44623</v>
      </c>
      <c r="T800" s="106">
        <f t="shared" si="12"/>
        <v>-3.219</v>
      </c>
    </row>
    <row r="801" spans="3:20">
      <c r="C801" s="105">
        <v>44622</v>
      </c>
      <c r="D801" s="106">
        <v>12.208</v>
      </c>
      <c r="E801" s="100">
        <v>14.394</v>
      </c>
      <c r="F801" s="100">
        <v>-15</v>
      </c>
      <c r="G801" s="100">
        <v>-19</v>
      </c>
      <c r="H801" s="100">
        <v>1</v>
      </c>
      <c r="I801" s="100">
        <v>-39</v>
      </c>
      <c r="K801" s="105">
        <v>44622</v>
      </c>
      <c r="L801" s="100">
        <v>20.591</v>
      </c>
      <c r="M801" s="106">
        <v>15.28</v>
      </c>
      <c r="N801" s="100">
        <v>35</v>
      </c>
      <c r="O801" s="100">
        <v>45</v>
      </c>
      <c r="P801" s="100">
        <v>66</v>
      </c>
      <c r="Q801" s="100">
        <v>25</v>
      </c>
      <c r="S801" s="105">
        <v>44622</v>
      </c>
      <c r="T801" s="106">
        <f t="shared" si="12"/>
        <v>-3.072</v>
      </c>
    </row>
    <row r="802" spans="3:20">
      <c r="C802" s="105">
        <v>44621</v>
      </c>
      <c r="D802" s="106">
        <v>12.103</v>
      </c>
      <c r="E802" s="100">
        <v>14.469</v>
      </c>
      <c r="F802" s="100">
        <v>-16</v>
      </c>
      <c r="G802" s="100">
        <v>-19</v>
      </c>
      <c r="H802" s="100">
        <v>1</v>
      </c>
      <c r="I802" s="100">
        <v>-39</v>
      </c>
      <c r="K802" s="105">
        <v>44621</v>
      </c>
      <c r="L802" s="100">
        <v>20.608</v>
      </c>
      <c r="M802" s="106">
        <v>15.346</v>
      </c>
      <c r="N802" s="100">
        <v>34</v>
      </c>
      <c r="O802" s="100">
        <v>45</v>
      </c>
      <c r="P802" s="100">
        <v>66</v>
      </c>
      <c r="Q802" s="100">
        <v>25</v>
      </c>
      <c r="S802" s="105">
        <v>44621</v>
      </c>
      <c r="T802" s="106">
        <f t="shared" si="12"/>
        <v>-3.243</v>
      </c>
    </row>
    <row r="803" spans="3:20">
      <c r="C803" s="105">
        <v>44620</v>
      </c>
      <c r="D803" s="106">
        <v>12.624</v>
      </c>
      <c r="E803" s="100">
        <v>15.233</v>
      </c>
      <c r="F803" s="100">
        <v>-17</v>
      </c>
      <c r="G803" s="100">
        <v>-19</v>
      </c>
      <c r="H803" s="100">
        <v>1</v>
      </c>
      <c r="I803" s="100">
        <v>-39</v>
      </c>
      <c r="K803" s="105">
        <v>44620</v>
      </c>
      <c r="L803" s="100">
        <v>21.272</v>
      </c>
      <c r="M803" s="106">
        <v>16.096</v>
      </c>
      <c r="N803" s="100">
        <v>32</v>
      </c>
      <c r="O803" s="100">
        <v>45</v>
      </c>
      <c r="P803" s="100">
        <v>66</v>
      </c>
      <c r="Q803" s="100">
        <v>25</v>
      </c>
      <c r="S803" s="105">
        <v>44620</v>
      </c>
      <c r="T803" s="106">
        <f t="shared" si="12"/>
        <v>-3.472</v>
      </c>
    </row>
    <row r="804" spans="3:20">
      <c r="C804" s="105">
        <v>44617</v>
      </c>
      <c r="D804" s="106">
        <v>12.568</v>
      </c>
      <c r="E804" s="100">
        <v>15.53</v>
      </c>
      <c r="F804" s="100">
        <v>-19</v>
      </c>
      <c r="G804" s="100">
        <v>-19</v>
      </c>
      <c r="H804" s="100">
        <v>1</v>
      </c>
      <c r="I804" s="100">
        <v>-39</v>
      </c>
      <c r="K804" s="105">
        <v>44617</v>
      </c>
      <c r="L804" s="100">
        <v>20.975</v>
      </c>
      <c r="M804" s="106">
        <v>16.308</v>
      </c>
      <c r="N804" s="100">
        <v>29</v>
      </c>
      <c r="O804" s="100">
        <v>45</v>
      </c>
      <c r="P804" s="100">
        <v>66</v>
      </c>
      <c r="Q804" s="100">
        <v>25</v>
      </c>
      <c r="S804" s="105">
        <v>44617</v>
      </c>
      <c r="T804" s="106">
        <f t="shared" si="12"/>
        <v>-3.74</v>
      </c>
    </row>
    <row r="805" spans="3:20">
      <c r="C805" s="105">
        <v>44616</v>
      </c>
      <c r="D805" s="106">
        <v>12.84</v>
      </c>
      <c r="E805" s="100">
        <v>15.295</v>
      </c>
      <c r="F805" s="100">
        <v>-16</v>
      </c>
      <c r="G805" s="100">
        <v>-19</v>
      </c>
      <c r="H805" s="100">
        <v>1</v>
      </c>
      <c r="I805" s="100">
        <v>-39</v>
      </c>
      <c r="K805" s="105">
        <v>44616</v>
      </c>
      <c r="L805" s="100">
        <v>20.672</v>
      </c>
      <c r="M805" s="106">
        <v>16.063</v>
      </c>
      <c r="N805" s="100">
        <v>29</v>
      </c>
      <c r="O805" s="100">
        <v>45</v>
      </c>
      <c r="P805" s="100">
        <v>66</v>
      </c>
      <c r="Q805" s="100">
        <v>25</v>
      </c>
      <c r="S805" s="105">
        <v>44616</v>
      </c>
      <c r="T805" s="106">
        <f t="shared" si="12"/>
        <v>-3.223</v>
      </c>
    </row>
    <row r="806" spans="3:20">
      <c r="C806" s="105">
        <v>44615</v>
      </c>
      <c r="D806" s="106">
        <v>13.04</v>
      </c>
      <c r="E806" s="100">
        <v>15.714</v>
      </c>
      <c r="F806" s="100">
        <v>-17</v>
      </c>
      <c r="G806" s="100">
        <v>-19</v>
      </c>
      <c r="H806" s="100">
        <v>1</v>
      </c>
      <c r="I806" s="100">
        <v>-39</v>
      </c>
      <c r="K806" s="105">
        <v>44615</v>
      </c>
      <c r="L806" s="100">
        <v>21.194</v>
      </c>
      <c r="M806" s="106">
        <v>16.497</v>
      </c>
      <c r="N806" s="100">
        <v>28</v>
      </c>
      <c r="O806" s="100">
        <v>45</v>
      </c>
      <c r="P806" s="100">
        <v>66</v>
      </c>
      <c r="Q806" s="100">
        <v>25</v>
      </c>
      <c r="S806" s="105">
        <v>44615</v>
      </c>
      <c r="T806" s="106">
        <f t="shared" si="12"/>
        <v>-3.457</v>
      </c>
    </row>
    <row r="807" spans="3:20">
      <c r="C807" s="105">
        <v>44614</v>
      </c>
      <c r="D807" s="106">
        <v>13.44</v>
      </c>
      <c r="E807" s="100">
        <v>15.9</v>
      </c>
      <c r="F807" s="100">
        <v>-15</v>
      </c>
      <c r="G807" s="100">
        <v>-19</v>
      </c>
      <c r="H807" s="100">
        <v>1</v>
      </c>
      <c r="I807" s="100">
        <v>-39</v>
      </c>
      <c r="K807" s="105">
        <v>44614</v>
      </c>
      <c r="L807" s="100">
        <v>21.14</v>
      </c>
      <c r="M807" s="106">
        <v>16.649</v>
      </c>
      <c r="N807" s="100">
        <v>27</v>
      </c>
      <c r="O807" s="100">
        <v>45</v>
      </c>
      <c r="P807" s="100">
        <v>66</v>
      </c>
      <c r="Q807" s="100">
        <v>25</v>
      </c>
      <c r="S807" s="105">
        <v>44614</v>
      </c>
      <c r="T807" s="106">
        <f t="shared" si="12"/>
        <v>-3.209</v>
      </c>
    </row>
    <row r="808" spans="3:20">
      <c r="C808" s="105">
        <v>44613</v>
      </c>
      <c r="D808" s="106">
        <v>13.523</v>
      </c>
      <c r="E808" s="100">
        <v>15.85</v>
      </c>
      <c r="F808" s="100">
        <v>-15</v>
      </c>
      <c r="G808" s="100">
        <v>-19</v>
      </c>
      <c r="H808" s="100">
        <v>1</v>
      </c>
      <c r="I808" s="100">
        <v>-39</v>
      </c>
      <c r="K808" s="105">
        <v>44613</v>
      </c>
      <c r="L808" s="100">
        <v>21.06</v>
      </c>
      <c r="M808" s="106">
        <v>16.594</v>
      </c>
      <c r="N808" s="100">
        <v>27</v>
      </c>
      <c r="O808" s="100">
        <v>45</v>
      </c>
      <c r="P808" s="100">
        <v>66</v>
      </c>
      <c r="Q808" s="100">
        <v>25</v>
      </c>
      <c r="S808" s="105">
        <v>44613</v>
      </c>
      <c r="T808" s="106">
        <f t="shared" si="12"/>
        <v>-3.071</v>
      </c>
    </row>
    <row r="809" spans="3:20">
      <c r="C809" s="105">
        <v>44610</v>
      </c>
      <c r="D809" s="106">
        <v>13.878</v>
      </c>
      <c r="E809" s="100">
        <v>16.296</v>
      </c>
      <c r="F809" s="100">
        <v>-15</v>
      </c>
      <c r="G809" s="100">
        <v>-19</v>
      </c>
      <c r="H809" s="100">
        <v>1</v>
      </c>
      <c r="I809" s="100">
        <v>-39</v>
      </c>
      <c r="K809" s="105">
        <v>44610</v>
      </c>
      <c r="L809" s="100">
        <v>21.498</v>
      </c>
      <c r="M809" s="106">
        <v>17.039</v>
      </c>
      <c r="N809" s="100">
        <v>26</v>
      </c>
      <c r="O809" s="100">
        <v>45</v>
      </c>
      <c r="P809" s="100">
        <v>66</v>
      </c>
      <c r="Q809" s="100">
        <v>25</v>
      </c>
      <c r="S809" s="105">
        <v>44610</v>
      </c>
      <c r="T809" s="106">
        <f t="shared" si="12"/>
        <v>-3.161</v>
      </c>
    </row>
    <row r="810" spans="3:20">
      <c r="C810" s="105">
        <v>44609</v>
      </c>
      <c r="D810" s="106">
        <v>13.936</v>
      </c>
      <c r="E810" s="100">
        <v>16.382</v>
      </c>
      <c r="F810" s="100">
        <v>-15</v>
      </c>
      <c r="G810" s="100">
        <v>-19</v>
      </c>
      <c r="H810" s="100">
        <v>1</v>
      </c>
      <c r="I810" s="100">
        <v>-39</v>
      </c>
      <c r="K810" s="105">
        <v>44609</v>
      </c>
      <c r="L810" s="100">
        <v>21.935</v>
      </c>
      <c r="M810" s="106">
        <v>17.176</v>
      </c>
      <c r="N810" s="100">
        <v>28</v>
      </c>
      <c r="O810" s="100">
        <v>45</v>
      </c>
      <c r="P810" s="100">
        <v>66</v>
      </c>
      <c r="Q810" s="100">
        <v>25</v>
      </c>
      <c r="S810" s="105">
        <v>44609</v>
      </c>
      <c r="T810" s="106">
        <f t="shared" si="12"/>
        <v>-3.24</v>
      </c>
    </row>
    <row r="811" spans="3:20">
      <c r="C811" s="105">
        <v>44608</v>
      </c>
      <c r="D811" s="106">
        <v>14.024</v>
      </c>
      <c r="E811" s="100">
        <v>16.559</v>
      </c>
      <c r="F811" s="100">
        <v>-15</v>
      </c>
      <c r="G811" s="100">
        <v>-19</v>
      </c>
      <c r="H811" s="100">
        <v>1</v>
      </c>
      <c r="I811" s="100">
        <v>-39</v>
      </c>
      <c r="K811" s="105">
        <v>44608</v>
      </c>
      <c r="L811" s="100">
        <v>22.397</v>
      </c>
      <c r="M811" s="106">
        <v>17.393</v>
      </c>
      <c r="N811" s="100">
        <v>29</v>
      </c>
      <c r="O811" s="100">
        <v>45</v>
      </c>
      <c r="P811" s="100">
        <v>66</v>
      </c>
      <c r="Q811" s="100">
        <v>25</v>
      </c>
      <c r="S811" s="105">
        <v>44608</v>
      </c>
      <c r="T811" s="106">
        <f t="shared" si="12"/>
        <v>-3.369</v>
      </c>
    </row>
    <row r="812" spans="3:20">
      <c r="C812" s="105">
        <v>44607</v>
      </c>
      <c r="D812" s="106">
        <v>14.269</v>
      </c>
      <c r="E812" s="100">
        <v>16.636</v>
      </c>
      <c r="F812" s="100">
        <v>-14</v>
      </c>
      <c r="G812" s="100">
        <v>-19</v>
      </c>
      <c r="H812" s="100">
        <v>1</v>
      </c>
      <c r="I812" s="100">
        <v>-39</v>
      </c>
      <c r="K812" s="105">
        <v>44607</v>
      </c>
      <c r="L812" s="100">
        <v>22.566</v>
      </c>
      <c r="M812" s="106">
        <v>17.483</v>
      </c>
      <c r="N812" s="100">
        <v>29</v>
      </c>
      <c r="O812" s="100">
        <v>45</v>
      </c>
      <c r="P812" s="100">
        <v>66</v>
      </c>
      <c r="Q812" s="100">
        <v>25</v>
      </c>
      <c r="S812" s="105">
        <v>44607</v>
      </c>
      <c r="T812" s="106">
        <f t="shared" si="12"/>
        <v>-3.214</v>
      </c>
    </row>
    <row r="813" spans="3:20">
      <c r="C813" s="105">
        <v>44606</v>
      </c>
      <c r="D813" s="106">
        <v>14.243</v>
      </c>
      <c r="E813" s="100">
        <v>16.474</v>
      </c>
      <c r="F813" s="100">
        <v>-14</v>
      </c>
      <c r="G813" s="100">
        <v>-19</v>
      </c>
      <c r="H813" s="100">
        <v>1</v>
      </c>
      <c r="I813" s="100">
        <v>-39</v>
      </c>
      <c r="K813" s="105">
        <v>44606</v>
      </c>
      <c r="L813" s="100">
        <v>22.395</v>
      </c>
      <c r="M813" s="106">
        <v>17.32</v>
      </c>
      <c r="N813" s="100">
        <v>29</v>
      </c>
      <c r="O813" s="100">
        <v>45</v>
      </c>
      <c r="P813" s="100">
        <v>66</v>
      </c>
      <c r="Q813" s="100">
        <v>25</v>
      </c>
      <c r="S813" s="105">
        <v>44606</v>
      </c>
      <c r="T813" s="106">
        <f t="shared" si="12"/>
        <v>-3.077</v>
      </c>
    </row>
    <row r="814" spans="3:20">
      <c r="C814" s="105">
        <v>44603</v>
      </c>
      <c r="D814" s="106">
        <v>14.77</v>
      </c>
      <c r="E814" s="100">
        <v>16.792</v>
      </c>
      <c r="F814" s="100">
        <v>-12</v>
      </c>
      <c r="G814" s="100">
        <v>-19</v>
      </c>
      <c r="H814" s="100">
        <v>1</v>
      </c>
      <c r="I814" s="100">
        <v>-39</v>
      </c>
      <c r="K814" s="105">
        <v>44603</v>
      </c>
      <c r="L814" s="100">
        <v>22.952</v>
      </c>
      <c r="M814" s="106">
        <v>17.672</v>
      </c>
      <c r="N814" s="100">
        <v>30</v>
      </c>
      <c r="O814" s="100">
        <v>45</v>
      </c>
      <c r="P814" s="100">
        <v>66</v>
      </c>
      <c r="Q814" s="100">
        <v>25</v>
      </c>
      <c r="S814" s="105">
        <v>44603</v>
      </c>
      <c r="T814" s="106">
        <f t="shared" si="12"/>
        <v>-2.902</v>
      </c>
    </row>
    <row r="815" spans="3:20">
      <c r="C815" s="105">
        <v>44602</v>
      </c>
      <c r="D815" s="106">
        <v>15.125</v>
      </c>
      <c r="E815" s="100">
        <v>17.131</v>
      </c>
      <c r="F815" s="100">
        <v>-12</v>
      </c>
      <c r="G815" s="100">
        <v>-19</v>
      </c>
      <c r="H815" s="100">
        <v>1</v>
      </c>
      <c r="I815" s="100">
        <v>-39</v>
      </c>
      <c r="K815" s="105">
        <v>44602</v>
      </c>
      <c r="L815" s="100">
        <v>23.41</v>
      </c>
      <c r="M815" s="106">
        <v>18.028</v>
      </c>
      <c r="N815" s="100">
        <v>30</v>
      </c>
      <c r="O815" s="100">
        <v>45</v>
      </c>
      <c r="P815" s="100">
        <v>66</v>
      </c>
      <c r="Q815" s="100">
        <v>25</v>
      </c>
      <c r="S815" s="105">
        <v>44602</v>
      </c>
      <c r="T815" s="106">
        <f t="shared" si="12"/>
        <v>-2.903</v>
      </c>
    </row>
    <row r="816" spans="3:20">
      <c r="C816" s="105">
        <v>44601</v>
      </c>
      <c r="D816" s="106">
        <v>15.387</v>
      </c>
      <c r="E816" s="100">
        <v>17.076</v>
      </c>
      <c r="F816" s="100">
        <v>-10</v>
      </c>
      <c r="G816" s="100">
        <v>-19</v>
      </c>
      <c r="H816" s="100">
        <v>1</v>
      </c>
      <c r="I816" s="100">
        <v>-39</v>
      </c>
      <c r="K816" s="105">
        <v>44601</v>
      </c>
      <c r="L816" s="100">
        <v>23.572</v>
      </c>
      <c r="M816" s="106">
        <v>18.004</v>
      </c>
      <c r="N816" s="100">
        <v>31</v>
      </c>
      <c r="O816" s="100">
        <v>45</v>
      </c>
      <c r="P816" s="100">
        <v>66</v>
      </c>
      <c r="Q816" s="100">
        <v>25</v>
      </c>
      <c r="S816" s="105">
        <v>44601</v>
      </c>
      <c r="T816" s="106">
        <f t="shared" si="12"/>
        <v>-2.617</v>
      </c>
    </row>
    <row r="817" spans="3:20">
      <c r="C817" s="105">
        <v>44600</v>
      </c>
      <c r="D817" s="106">
        <v>15.15</v>
      </c>
      <c r="E817" s="100">
        <v>16.723</v>
      </c>
      <c r="F817" s="100">
        <v>-9</v>
      </c>
      <c r="G817" s="100">
        <v>-19</v>
      </c>
      <c r="H817" s="100">
        <v>1</v>
      </c>
      <c r="I817" s="100">
        <v>-39</v>
      </c>
      <c r="K817" s="105">
        <v>44600</v>
      </c>
      <c r="L817" s="100">
        <v>22.895</v>
      </c>
      <c r="M817" s="106">
        <v>17.605</v>
      </c>
      <c r="N817" s="100">
        <v>30</v>
      </c>
      <c r="O817" s="100">
        <v>45</v>
      </c>
      <c r="P817" s="100">
        <v>66</v>
      </c>
      <c r="Q817" s="100">
        <v>25</v>
      </c>
      <c r="S817" s="105">
        <v>44600</v>
      </c>
      <c r="T817" s="106">
        <f t="shared" si="12"/>
        <v>-2.455</v>
      </c>
    </row>
    <row r="818" spans="3:20">
      <c r="C818" s="105">
        <v>44599</v>
      </c>
      <c r="D818" s="106">
        <v>15.353</v>
      </c>
      <c r="E818" s="100">
        <v>16.644</v>
      </c>
      <c r="F818" s="100">
        <v>-8</v>
      </c>
      <c r="G818" s="100">
        <v>-19</v>
      </c>
      <c r="H818" s="100">
        <v>1</v>
      </c>
      <c r="I818" s="100">
        <v>-39</v>
      </c>
      <c r="K818" s="105">
        <v>44599</v>
      </c>
      <c r="L818" s="100">
        <v>23.602</v>
      </c>
      <c r="M818" s="106">
        <v>17.638</v>
      </c>
      <c r="N818" s="100">
        <v>34</v>
      </c>
      <c r="O818" s="100">
        <v>45</v>
      </c>
      <c r="P818" s="100">
        <v>66</v>
      </c>
      <c r="Q818" s="100">
        <v>25</v>
      </c>
      <c r="S818" s="105">
        <v>44599</v>
      </c>
      <c r="T818" s="106">
        <f t="shared" si="12"/>
        <v>-2.285</v>
      </c>
    </row>
    <row r="819" spans="3:20">
      <c r="C819" s="105">
        <v>44596</v>
      </c>
      <c r="D819" s="106">
        <v>15.412</v>
      </c>
      <c r="E819" s="100">
        <v>16.665</v>
      </c>
      <c r="F819" s="100">
        <v>-8</v>
      </c>
      <c r="G819" s="100">
        <v>-19</v>
      </c>
      <c r="H819" s="100">
        <v>1</v>
      </c>
      <c r="I819" s="100">
        <v>-39</v>
      </c>
      <c r="K819" s="105">
        <v>44596</v>
      </c>
      <c r="L819" s="100">
        <v>23.48</v>
      </c>
      <c r="M819" s="106">
        <v>17.638</v>
      </c>
      <c r="N819" s="100">
        <v>33</v>
      </c>
      <c r="O819" s="100">
        <v>45</v>
      </c>
      <c r="P819" s="100">
        <v>66</v>
      </c>
      <c r="Q819" s="100">
        <v>25</v>
      </c>
      <c r="S819" s="105">
        <v>44596</v>
      </c>
      <c r="T819" s="106">
        <f t="shared" si="12"/>
        <v>-2.226</v>
      </c>
    </row>
    <row r="820" spans="3:20">
      <c r="C820" s="105">
        <v>44595</v>
      </c>
      <c r="D820" s="106">
        <v>15.606</v>
      </c>
      <c r="E820" s="100">
        <v>16.938</v>
      </c>
      <c r="F820" s="100">
        <v>-8</v>
      </c>
      <c r="G820" s="100">
        <v>-19</v>
      </c>
      <c r="H820" s="100">
        <v>1</v>
      </c>
      <c r="I820" s="100">
        <v>-39</v>
      </c>
      <c r="K820" s="105">
        <v>44595</v>
      </c>
      <c r="L820" s="100">
        <v>23.646</v>
      </c>
      <c r="M820" s="106">
        <v>17.896</v>
      </c>
      <c r="N820" s="100">
        <v>32</v>
      </c>
      <c r="O820" s="100">
        <v>45</v>
      </c>
      <c r="P820" s="100">
        <v>66</v>
      </c>
      <c r="Q820" s="100">
        <v>25</v>
      </c>
      <c r="S820" s="105">
        <v>44595</v>
      </c>
      <c r="T820" s="106">
        <f t="shared" si="12"/>
        <v>-2.29</v>
      </c>
    </row>
    <row r="821" spans="3:20">
      <c r="C821" s="105">
        <v>44594</v>
      </c>
      <c r="D821" s="106">
        <v>15.949</v>
      </c>
      <c r="E821" s="100">
        <v>17.298</v>
      </c>
      <c r="F821" s="100">
        <v>-8</v>
      </c>
      <c r="G821" s="100">
        <v>-19</v>
      </c>
      <c r="H821" s="100">
        <v>1</v>
      </c>
      <c r="I821" s="100">
        <v>-39</v>
      </c>
      <c r="K821" s="105">
        <v>44594</v>
      </c>
      <c r="L821" s="100">
        <v>23.833</v>
      </c>
      <c r="M821" s="106">
        <v>18.231</v>
      </c>
      <c r="N821" s="100">
        <v>31</v>
      </c>
      <c r="O821" s="100">
        <v>45</v>
      </c>
      <c r="P821" s="100">
        <v>66</v>
      </c>
      <c r="Q821" s="100">
        <v>25</v>
      </c>
      <c r="S821" s="105">
        <v>44594</v>
      </c>
      <c r="T821" s="106">
        <f t="shared" si="12"/>
        <v>-2.282</v>
      </c>
    </row>
    <row r="822" spans="3:20">
      <c r="C822" s="105">
        <v>44593</v>
      </c>
      <c r="D822" s="106">
        <v>16.216</v>
      </c>
      <c r="E822" s="100">
        <v>17.481</v>
      </c>
      <c r="F822" s="100">
        <v>-7</v>
      </c>
      <c r="G822" s="100">
        <v>-19</v>
      </c>
      <c r="H822" s="100">
        <v>1</v>
      </c>
      <c r="I822" s="100">
        <v>-39</v>
      </c>
      <c r="K822" s="105">
        <v>44593</v>
      </c>
      <c r="L822" s="100">
        <v>23.49</v>
      </c>
      <c r="M822" s="106">
        <v>18.34</v>
      </c>
      <c r="N822" s="100">
        <v>28</v>
      </c>
      <c r="O822" s="100">
        <v>45</v>
      </c>
      <c r="P822" s="100">
        <v>66</v>
      </c>
      <c r="Q822" s="100">
        <v>25</v>
      </c>
      <c r="S822" s="105">
        <v>44593</v>
      </c>
      <c r="T822" s="106">
        <f t="shared" si="12"/>
        <v>-2.124</v>
      </c>
    </row>
    <row r="823" spans="3:20">
      <c r="C823" s="105">
        <v>44592</v>
      </c>
      <c r="D823" s="106">
        <v>15.936</v>
      </c>
      <c r="E823" s="100">
        <v>17.304</v>
      </c>
      <c r="F823" s="100">
        <v>-8</v>
      </c>
      <c r="G823" s="100">
        <v>-19</v>
      </c>
      <c r="H823" s="100">
        <v>1</v>
      </c>
      <c r="I823" s="100">
        <v>-39</v>
      </c>
      <c r="K823" s="105">
        <v>44592</v>
      </c>
      <c r="L823" s="100">
        <v>23.752</v>
      </c>
      <c r="M823" s="106">
        <v>18.225</v>
      </c>
      <c r="N823" s="100">
        <v>30</v>
      </c>
      <c r="O823" s="100">
        <v>45</v>
      </c>
      <c r="P823" s="100">
        <v>66</v>
      </c>
      <c r="Q823" s="100">
        <v>25</v>
      </c>
      <c r="S823" s="105">
        <v>44592</v>
      </c>
      <c r="T823" s="106">
        <f t="shared" si="12"/>
        <v>-2.289</v>
      </c>
    </row>
    <row r="824" spans="3:20">
      <c r="C824" s="105">
        <v>44589</v>
      </c>
      <c r="D824" s="106">
        <v>15.958</v>
      </c>
      <c r="E824" s="100">
        <v>17.372</v>
      </c>
      <c r="F824" s="100">
        <v>-8</v>
      </c>
      <c r="G824" s="100">
        <v>-19</v>
      </c>
      <c r="H824" s="100">
        <v>1</v>
      </c>
      <c r="I824" s="100">
        <v>-39</v>
      </c>
      <c r="K824" s="105">
        <v>44589</v>
      </c>
      <c r="L824" s="100">
        <v>23.006</v>
      </c>
      <c r="M824" s="106">
        <v>18.177</v>
      </c>
      <c r="N824" s="100">
        <v>27</v>
      </c>
      <c r="O824" s="100">
        <v>45</v>
      </c>
      <c r="P824" s="100">
        <v>66</v>
      </c>
      <c r="Q824" s="100">
        <v>25</v>
      </c>
      <c r="S824" s="105">
        <v>44589</v>
      </c>
      <c r="T824" s="106">
        <f t="shared" si="12"/>
        <v>-2.219</v>
      </c>
    </row>
    <row r="825" spans="3:20">
      <c r="C825" s="105">
        <v>44588</v>
      </c>
      <c r="D825" s="106">
        <v>15.848</v>
      </c>
      <c r="E825" s="100">
        <v>17.153</v>
      </c>
      <c r="F825" s="100">
        <v>-8</v>
      </c>
      <c r="G825" s="100">
        <v>-19</v>
      </c>
      <c r="H825" s="100">
        <v>1</v>
      </c>
      <c r="I825" s="100">
        <v>-39</v>
      </c>
      <c r="K825" s="105">
        <v>44588</v>
      </c>
      <c r="L825" s="100">
        <v>22.941</v>
      </c>
      <c r="M825" s="106">
        <v>17.98</v>
      </c>
      <c r="N825" s="100">
        <v>28</v>
      </c>
      <c r="O825" s="100">
        <v>45</v>
      </c>
      <c r="P825" s="100">
        <v>66</v>
      </c>
      <c r="Q825" s="100">
        <v>25</v>
      </c>
      <c r="S825" s="105">
        <v>44588</v>
      </c>
      <c r="T825" s="106">
        <f t="shared" si="12"/>
        <v>-2.132</v>
      </c>
    </row>
    <row r="826" spans="3:20">
      <c r="C826" s="105">
        <v>44587</v>
      </c>
      <c r="D826" s="106">
        <v>15.595</v>
      </c>
      <c r="E826" s="100">
        <v>17.074</v>
      </c>
      <c r="F826" s="100">
        <v>-9</v>
      </c>
      <c r="G826" s="100">
        <v>-19</v>
      </c>
      <c r="H826" s="100">
        <v>1</v>
      </c>
      <c r="I826" s="100">
        <v>-39</v>
      </c>
      <c r="K826" s="105">
        <v>44587</v>
      </c>
      <c r="L826" s="100">
        <v>23.83</v>
      </c>
      <c r="M826" s="106">
        <v>18.039</v>
      </c>
      <c r="N826" s="100">
        <v>32</v>
      </c>
      <c r="O826" s="100">
        <v>45</v>
      </c>
      <c r="P826" s="100">
        <v>66</v>
      </c>
      <c r="Q826" s="100">
        <v>25</v>
      </c>
      <c r="S826" s="105">
        <v>44587</v>
      </c>
      <c r="T826" s="106">
        <f t="shared" si="12"/>
        <v>-2.444</v>
      </c>
    </row>
    <row r="827" spans="3:20">
      <c r="C827" s="105">
        <v>44586</v>
      </c>
      <c r="D827" s="106">
        <v>15.472</v>
      </c>
      <c r="E827" s="100">
        <v>16.886</v>
      </c>
      <c r="F827" s="100">
        <v>-8</v>
      </c>
      <c r="G827" s="100">
        <v>-19</v>
      </c>
      <c r="H827" s="100">
        <v>1</v>
      </c>
      <c r="I827" s="100">
        <v>-39</v>
      </c>
      <c r="K827" s="105">
        <v>44586</v>
      </c>
      <c r="L827" s="100">
        <v>24.473</v>
      </c>
      <c r="M827" s="106">
        <v>17.97</v>
      </c>
      <c r="N827" s="100">
        <v>36</v>
      </c>
      <c r="O827" s="100">
        <v>45</v>
      </c>
      <c r="P827" s="100">
        <v>66</v>
      </c>
      <c r="Q827" s="100">
        <v>25</v>
      </c>
      <c r="S827" s="105">
        <v>44586</v>
      </c>
      <c r="T827" s="106">
        <f t="shared" si="12"/>
        <v>-2.498</v>
      </c>
    </row>
    <row r="828" spans="3:20">
      <c r="C828" s="105">
        <v>44585</v>
      </c>
      <c r="D828" s="106">
        <v>15.503</v>
      </c>
      <c r="E828" s="100">
        <v>16.81</v>
      </c>
      <c r="F828" s="100">
        <v>-8</v>
      </c>
      <c r="G828" s="100">
        <v>-19</v>
      </c>
      <c r="H828" s="100">
        <v>1</v>
      </c>
      <c r="I828" s="100">
        <v>-39</v>
      </c>
      <c r="K828" s="105">
        <v>44585</v>
      </c>
      <c r="L828" s="100">
        <v>24.487</v>
      </c>
      <c r="M828" s="106">
        <v>17.906</v>
      </c>
      <c r="N828" s="100">
        <v>37</v>
      </c>
      <c r="O828" s="100">
        <v>45</v>
      </c>
      <c r="P828" s="100">
        <v>66</v>
      </c>
      <c r="Q828" s="100">
        <v>25</v>
      </c>
      <c r="S828" s="105">
        <v>44585</v>
      </c>
      <c r="T828" s="106">
        <f t="shared" si="12"/>
        <v>-2.403</v>
      </c>
    </row>
    <row r="829" spans="3:20">
      <c r="C829" s="105">
        <v>44582</v>
      </c>
      <c r="D829" s="106">
        <v>16.334</v>
      </c>
      <c r="E829" s="100">
        <v>17.275</v>
      </c>
      <c r="F829" s="100">
        <v>-5</v>
      </c>
      <c r="G829" s="100">
        <v>-19</v>
      </c>
      <c r="H829" s="100">
        <v>1</v>
      </c>
      <c r="I829" s="100">
        <v>-39</v>
      </c>
      <c r="K829" s="105">
        <v>44582</v>
      </c>
      <c r="L829" s="100">
        <v>25.075</v>
      </c>
      <c r="M829" s="106">
        <v>18.389</v>
      </c>
      <c r="N829" s="100">
        <v>36</v>
      </c>
      <c r="O829" s="100">
        <v>45</v>
      </c>
      <c r="P829" s="100">
        <v>66</v>
      </c>
      <c r="Q829" s="100">
        <v>25</v>
      </c>
      <c r="S829" s="105">
        <v>44582</v>
      </c>
      <c r="T829" s="106">
        <f t="shared" si="12"/>
        <v>-2.055</v>
      </c>
    </row>
    <row r="830" spans="3:20">
      <c r="C830" s="105">
        <v>44581</v>
      </c>
      <c r="D830" s="106">
        <v>16.5</v>
      </c>
      <c r="E830" s="100">
        <v>17.504</v>
      </c>
      <c r="F830" s="100">
        <v>-6</v>
      </c>
      <c r="G830" s="100">
        <v>-19</v>
      </c>
      <c r="H830" s="100">
        <v>1</v>
      </c>
      <c r="I830" s="100">
        <v>-39</v>
      </c>
      <c r="K830" s="105">
        <v>44581</v>
      </c>
      <c r="L830" s="100">
        <v>25.116</v>
      </c>
      <c r="M830" s="106">
        <v>18.592</v>
      </c>
      <c r="N830" s="100">
        <v>35</v>
      </c>
      <c r="O830" s="100">
        <v>45</v>
      </c>
      <c r="P830" s="100">
        <v>66</v>
      </c>
      <c r="Q830" s="100">
        <v>25</v>
      </c>
      <c r="S830" s="105">
        <v>44581</v>
      </c>
      <c r="T830" s="106">
        <f t="shared" si="12"/>
        <v>-2.092</v>
      </c>
    </row>
    <row r="831" spans="3:20">
      <c r="C831" s="105">
        <v>44580</v>
      </c>
      <c r="D831" s="106">
        <v>16.258</v>
      </c>
      <c r="E831" s="100">
        <v>17.514</v>
      </c>
      <c r="F831" s="100">
        <v>-7</v>
      </c>
      <c r="G831" s="100">
        <v>-19</v>
      </c>
      <c r="H831" s="100">
        <v>1</v>
      </c>
      <c r="I831" s="100">
        <v>-39</v>
      </c>
      <c r="K831" s="105">
        <v>44580</v>
      </c>
      <c r="L831" s="100">
        <v>24.782</v>
      </c>
      <c r="M831" s="106">
        <v>18.553</v>
      </c>
      <c r="N831" s="100">
        <v>34</v>
      </c>
      <c r="O831" s="100">
        <v>45</v>
      </c>
      <c r="P831" s="100">
        <v>66</v>
      </c>
      <c r="Q831" s="100">
        <v>25</v>
      </c>
      <c r="S831" s="105">
        <v>44580</v>
      </c>
      <c r="T831" s="106">
        <f t="shared" si="12"/>
        <v>-2.295</v>
      </c>
    </row>
    <row r="832" spans="3:20">
      <c r="C832" s="105">
        <v>44579</v>
      </c>
      <c r="D832" s="106">
        <v>16.03</v>
      </c>
      <c r="E832" s="100">
        <v>17.373</v>
      </c>
      <c r="F832" s="100">
        <v>-8</v>
      </c>
      <c r="G832" s="100">
        <v>-19</v>
      </c>
      <c r="H832" s="100">
        <v>1</v>
      </c>
      <c r="I832" s="100">
        <v>-39</v>
      </c>
      <c r="K832" s="105">
        <v>44579</v>
      </c>
      <c r="L832" s="100">
        <v>24.742</v>
      </c>
      <c r="M832" s="106">
        <v>18.426</v>
      </c>
      <c r="N832" s="100">
        <v>34</v>
      </c>
      <c r="O832" s="100">
        <v>45</v>
      </c>
      <c r="P832" s="100">
        <v>66</v>
      </c>
      <c r="Q832" s="100">
        <v>25</v>
      </c>
      <c r="S832" s="105">
        <v>44579</v>
      </c>
      <c r="T832" s="106">
        <f t="shared" si="12"/>
        <v>-2.396</v>
      </c>
    </row>
    <row r="833" spans="3:20">
      <c r="C833" s="105">
        <v>44578</v>
      </c>
      <c r="D833" s="106">
        <v>16.616</v>
      </c>
      <c r="E833" s="100">
        <v>17.609</v>
      </c>
      <c r="F833" s="100">
        <v>-6</v>
      </c>
      <c r="G833" s="100">
        <v>-19</v>
      </c>
      <c r="H833" s="100">
        <v>1</v>
      </c>
      <c r="I833" s="100">
        <v>-39</v>
      </c>
      <c r="K833" s="105">
        <v>44578</v>
      </c>
      <c r="L833" s="100">
        <v>24.781</v>
      </c>
      <c r="M833" s="106">
        <v>18.633</v>
      </c>
      <c r="N833" s="100">
        <v>33</v>
      </c>
      <c r="O833" s="100">
        <v>45</v>
      </c>
      <c r="P833" s="100">
        <v>66</v>
      </c>
      <c r="Q833" s="100">
        <v>25</v>
      </c>
      <c r="S833" s="105">
        <v>44578</v>
      </c>
      <c r="T833" s="106">
        <f t="shared" si="12"/>
        <v>-2.017</v>
      </c>
    </row>
    <row r="834" spans="3:20">
      <c r="C834" s="105">
        <v>44575</v>
      </c>
      <c r="D834" s="106">
        <v>16.496</v>
      </c>
      <c r="E834" s="100">
        <v>17.533</v>
      </c>
      <c r="F834" s="100">
        <v>-6</v>
      </c>
      <c r="G834" s="100">
        <v>-19</v>
      </c>
      <c r="H834" s="100">
        <v>1</v>
      </c>
      <c r="I834" s="100">
        <v>-39</v>
      </c>
      <c r="K834" s="105">
        <v>44575</v>
      </c>
      <c r="L834" s="100">
        <v>24.786</v>
      </c>
      <c r="M834" s="106">
        <v>18.569</v>
      </c>
      <c r="N834" s="100">
        <v>33</v>
      </c>
      <c r="O834" s="100">
        <v>45</v>
      </c>
      <c r="P834" s="100">
        <v>66</v>
      </c>
      <c r="Q834" s="100">
        <v>25</v>
      </c>
      <c r="S834" s="105">
        <v>44575</v>
      </c>
      <c r="T834" s="106">
        <f t="shared" si="12"/>
        <v>-2.073</v>
      </c>
    </row>
    <row r="835" spans="3:20">
      <c r="C835" s="105">
        <v>44574</v>
      </c>
      <c r="D835" s="106">
        <v>16.782</v>
      </c>
      <c r="E835" s="100">
        <v>17.782</v>
      </c>
      <c r="F835" s="100">
        <v>-6</v>
      </c>
      <c r="G835" s="100">
        <v>-19</v>
      </c>
      <c r="H835" s="100">
        <v>1</v>
      </c>
      <c r="I835" s="100">
        <v>-39</v>
      </c>
      <c r="K835" s="105">
        <v>44574</v>
      </c>
      <c r="L835" s="100">
        <v>24.78</v>
      </c>
      <c r="M835" s="106">
        <v>18.782</v>
      </c>
      <c r="N835" s="100">
        <v>32</v>
      </c>
      <c r="O835" s="100">
        <v>45</v>
      </c>
      <c r="P835" s="100">
        <v>66</v>
      </c>
      <c r="Q835" s="100">
        <v>25</v>
      </c>
      <c r="S835" s="105">
        <v>44574</v>
      </c>
      <c r="T835" s="106">
        <f t="shared" si="12"/>
        <v>-2</v>
      </c>
    </row>
    <row r="836" spans="3:20">
      <c r="C836" s="105">
        <v>44573</v>
      </c>
      <c r="D836" s="106">
        <v>17.931</v>
      </c>
      <c r="E836" s="100">
        <v>18.032</v>
      </c>
      <c r="F836" s="100">
        <v>-1</v>
      </c>
      <c r="G836" s="100">
        <v>-19</v>
      </c>
      <c r="H836" s="100">
        <v>1</v>
      </c>
      <c r="I836" s="100">
        <v>-39</v>
      </c>
      <c r="K836" s="105">
        <v>44573</v>
      </c>
      <c r="L836" s="100">
        <v>24.592</v>
      </c>
      <c r="M836" s="106">
        <v>18.969</v>
      </c>
      <c r="N836" s="100">
        <v>30</v>
      </c>
      <c r="O836" s="100">
        <v>45</v>
      </c>
      <c r="P836" s="100">
        <v>66</v>
      </c>
      <c r="Q836" s="100">
        <v>25</v>
      </c>
      <c r="S836" s="105">
        <v>44573</v>
      </c>
      <c r="T836" s="106">
        <f t="shared" si="12"/>
        <v>-1.038</v>
      </c>
    </row>
    <row r="837" spans="3:20">
      <c r="C837" s="105">
        <v>44572</v>
      </c>
      <c r="D837" s="106">
        <v>19.39</v>
      </c>
      <c r="E837" s="100">
        <v>18.315</v>
      </c>
      <c r="F837" s="100">
        <v>6</v>
      </c>
      <c r="G837" s="100">
        <v>-19</v>
      </c>
      <c r="H837" s="100">
        <v>1</v>
      </c>
      <c r="I837" s="100">
        <v>-39</v>
      </c>
      <c r="K837" s="105">
        <v>44572</v>
      </c>
      <c r="L837" s="100">
        <v>24.191</v>
      </c>
      <c r="M837" s="106">
        <v>19.154</v>
      </c>
      <c r="N837" s="100">
        <v>26</v>
      </c>
      <c r="O837" s="100">
        <v>45</v>
      </c>
      <c r="P837" s="100">
        <v>66</v>
      </c>
      <c r="Q837" s="100">
        <v>25</v>
      </c>
      <c r="S837" s="105">
        <v>44572</v>
      </c>
      <c r="T837" s="106">
        <f t="shared" si="12"/>
        <v>0.236000000000001</v>
      </c>
    </row>
    <row r="838" spans="3:20">
      <c r="C838" s="105">
        <v>44571</v>
      </c>
      <c r="D838" s="106">
        <v>18.861</v>
      </c>
      <c r="E838" s="100">
        <v>17.949</v>
      </c>
      <c r="F838" s="100">
        <v>5</v>
      </c>
      <c r="G838" s="100">
        <v>-19</v>
      </c>
      <c r="H838" s="100">
        <v>1</v>
      </c>
      <c r="I838" s="100">
        <v>-39</v>
      </c>
      <c r="K838" s="105">
        <v>44571</v>
      </c>
      <c r="L838" s="100">
        <v>23.983</v>
      </c>
      <c r="M838" s="106">
        <v>18.811</v>
      </c>
      <c r="N838" s="100">
        <v>27</v>
      </c>
      <c r="O838" s="100">
        <v>45</v>
      </c>
      <c r="P838" s="100">
        <v>66</v>
      </c>
      <c r="Q838" s="100">
        <v>25</v>
      </c>
      <c r="S838" s="105">
        <v>44571</v>
      </c>
      <c r="T838" s="106">
        <f t="shared" si="12"/>
        <v>0.0500000000000007</v>
      </c>
    </row>
    <row r="839" spans="3:20">
      <c r="C839" s="105">
        <v>44568</v>
      </c>
      <c r="D839" s="106">
        <v>19.29</v>
      </c>
      <c r="E839" s="100">
        <v>18.348</v>
      </c>
      <c r="F839" s="100">
        <v>5</v>
      </c>
      <c r="G839" s="100">
        <v>-19</v>
      </c>
      <c r="H839" s="100">
        <v>1</v>
      </c>
      <c r="I839" s="100">
        <v>-39</v>
      </c>
      <c r="K839" s="105">
        <v>44568</v>
      </c>
      <c r="L839" s="100">
        <v>23.658</v>
      </c>
      <c r="M839" s="106">
        <v>19.106</v>
      </c>
      <c r="N839" s="100">
        <v>24</v>
      </c>
      <c r="O839" s="100">
        <v>45</v>
      </c>
      <c r="P839" s="100">
        <v>66</v>
      </c>
      <c r="Q839" s="100">
        <v>25</v>
      </c>
      <c r="S839" s="105">
        <v>44568</v>
      </c>
      <c r="T839" s="106">
        <f t="shared" si="12"/>
        <v>0.183999999999997</v>
      </c>
    </row>
    <row r="840" spans="3:20">
      <c r="C840" s="105">
        <v>44567</v>
      </c>
      <c r="D840" s="106">
        <v>19.535</v>
      </c>
      <c r="E840" s="100">
        <v>18.581</v>
      </c>
      <c r="F840" s="100">
        <v>5</v>
      </c>
      <c r="G840" s="100">
        <v>-19</v>
      </c>
      <c r="H840" s="100">
        <v>1</v>
      </c>
      <c r="I840" s="100">
        <v>-39</v>
      </c>
      <c r="K840" s="105">
        <v>44567</v>
      </c>
      <c r="L840" s="100">
        <v>23.531</v>
      </c>
      <c r="M840" s="106">
        <v>19.288</v>
      </c>
      <c r="N840" s="100">
        <v>22</v>
      </c>
      <c r="O840" s="100">
        <v>45</v>
      </c>
      <c r="P840" s="100">
        <v>66</v>
      </c>
      <c r="Q840" s="100">
        <v>25</v>
      </c>
      <c r="S840" s="105">
        <v>44567</v>
      </c>
      <c r="T840" s="106">
        <f t="shared" si="12"/>
        <v>0.247</v>
      </c>
    </row>
    <row r="841" spans="3:20">
      <c r="C841" s="105">
        <v>44566</v>
      </c>
      <c r="D841" s="106">
        <v>20.117</v>
      </c>
      <c r="E841" s="100">
        <v>18.814</v>
      </c>
      <c r="F841" s="100">
        <v>7</v>
      </c>
      <c r="G841" s="100">
        <v>-19</v>
      </c>
      <c r="H841" s="100">
        <v>1</v>
      </c>
      <c r="I841" s="100">
        <v>-39</v>
      </c>
      <c r="K841" s="105">
        <v>44566</v>
      </c>
      <c r="L841" s="100">
        <v>23.377</v>
      </c>
      <c r="M841" s="106">
        <v>19.466</v>
      </c>
      <c r="N841" s="100">
        <v>20</v>
      </c>
      <c r="O841" s="100">
        <v>45</v>
      </c>
      <c r="P841" s="100">
        <v>66</v>
      </c>
      <c r="Q841" s="100">
        <v>25</v>
      </c>
      <c r="S841" s="105">
        <v>44566</v>
      </c>
      <c r="T841" s="106">
        <f t="shared" si="12"/>
        <v>0.651</v>
      </c>
    </row>
    <row r="842" spans="3:20">
      <c r="C842" s="105">
        <v>44565</v>
      </c>
      <c r="D842" s="106">
        <v>19.825</v>
      </c>
      <c r="E842" s="100">
        <v>18.771</v>
      </c>
      <c r="F842" s="100">
        <v>6</v>
      </c>
      <c r="G842" s="100">
        <v>-19</v>
      </c>
      <c r="H842" s="100">
        <v>1</v>
      </c>
      <c r="I842" s="100">
        <v>-39</v>
      </c>
      <c r="K842" s="105">
        <v>44565</v>
      </c>
      <c r="L842" s="100">
        <v>22.998</v>
      </c>
      <c r="M842" s="106">
        <v>19.375</v>
      </c>
      <c r="N842" s="100">
        <v>19</v>
      </c>
      <c r="O842" s="100">
        <v>45</v>
      </c>
      <c r="P842" s="100">
        <v>66</v>
      </c>
      <c r="Q842" s="100">
        <v>25</v>
      </c>
      <c r="S842" s="105">
        <v>44565</v>
      </c>
      <c r="T842" s="106">
        <f t="shared" si="12"/>
        <v>0.449999999999999</v>
      </c>
    </row>
    <row r="843" spans="3:20">
      <c r="C843" s="105">
        <v>44561</v>
      </c>
      <c r="D843" s="106">
        <v>20.011</v>
      </c>
      <c r="E843" s="100">
        <v>18.842</v>
      </c>
      <c r="F843" s="100">
        <v>6</v>
      </c>
      <c r="G843" s="100">
        <v>-19</v>
      </c>
      <c r="H843" s="100">
        <v>1</v>
      </c>
      <c r="I843" s="100">
        <v>-39</v>
      </c>
      <c r="K843" s="105">
        <v>44561</v>
      </c>
      <c r="L843" s="100">
        <v>22.581</v>
      </c>
      <c r="M843" s="106">
        <v>19.376</v>
      </c>
      <c r="N843" s="100">
        <v>17</v>
      </c>
      <c r="O843" s="100">
        <v>45</v>
      </c>
      <c r="P843" s="100">
        <v>66</v>
      </c>
      <c r="Q843" s="100">
        <v>25</v>
      </c>
      <c r="S843" s="105">
        <v>44561</v>
      </c>
      <c r="T843" s="106">
        <f t="shared" si="12"/>
        <v>0.634999999999998</v>
      </c>
    </row>
    <row r="844" spans="3:20">
      <c r="C844" s="105">
        <v>44560</v>
      </c>
      <c r="D844" s="106">
        <v>20.068</v>
      </c>
      <c r="E844" s="100">
        <v>18.868</v>
      </c>
      <c r="F844" s="100">
        <v>6</v>
      </c>
      <c r="G844" s="100">
        <v>-19</v>
      </c>
      <c r="H844" s="100">
        <v>1</v>
      </c>
      <c r="I844" s="100">
        <v>-39</v>
      </c>
      <c r="K844" s="105">
        <v>44560</v>
      </c>
      <c r="L844" s="100">
        <v>22.687</v>
      </c>
      <c r="M844" s="106">
        <v>19.414</v>
      </c>
      <c r="N844" s="100">
        <v>17</v>
      </c>
      <c r="O844" s="100">
        <v>45</v>
      </c>
      <c r="P844" s="100">
        <v>66</v>
      </c>
      <c r="Q844" s="100">
        <v>25</v>
      </c>
      <c r="S844" s="105">
        <v>44560</v>
      </c>
      <c r="T844" s="106">
        <f t="shared" si="12"/>
        <v>0.654</v>
      </c>
    </row>
    <row r="845" spans="3:20">
      <c r="C845" s="105">
        <v>44559</v>
      </c>
      <c r="D845" s="106">
        <v>19.775</v>
      </c>
      <c r="E845" s="100">
        <v>18.734</v>
      </c>
      <c r="F845" s="100">
        <v>6</v>
      </c>
      <c r="G845" s="100">
        <v>-19</v>
      </c>
      <c r="H845" s="100">
        <v>1</v>
      </c>
      <c r="I845" s="100">
        <v>-39</v>
      </c>
      <c r="K845" s="105">
        <v>44559</v>
      </c>
      <c r="L845" s="100">
        <v>23.047</v>
      </c>
      <c r="M845" s="106">
        <v>19.35</v>
      </c>
      <c r="N845" s="100">
        <v>19</v>
      </c>
      <c r="O845" s="100">
        <v>45</v>
      </c>
      <c r="P845" s="100">
        <v>66</v>
      </c>
      <c r="Q845" s="100">
        <v>25</v>
      </c>
      <c r="S845" s="105">
        <v>44559</v>
      </c>
      <c r="T845" s="106">
        <f t="shared" si="12"/>
        <v>0.424999999999997</v>
      </c>
    </row>
    <row r="846" spans="3:20">
      <c r="C846" s="105">
        <v>44554</v>
      </c>
      <c r="D846" s="106">
        <v>19.43</v>
      </c>
      <c r="E846" s="100">
        <v>18.481</v>
      </c>
      <c r="F846" s="100">
        <v>5</v>
      </c>
      <c r="G846" s="100">
        <v>-19</v>
      </c>
      <c r="H846" s="100">
        <v>1</v>
      </c>
      <c r="I846" s="100">
        <v>-39</v>
      </c>
      <c r="K846" s="105">
        <v>44554</v>
      </c>
      <c r="L846" s="100">
        <v>22.799</v>
      </c>
      <c r="M846" s="106">
        <v>19.098</v>
      </c>
      <c r="N846" s="100">
        <v>19</v>
      </c>
      <c r="O846" s="100">
        <v>45</v>
      </c>
      <c r="P846" s="100">
        <v>66</v>
      </c>
      <c r="Q846" s="100">
        <v>25</v>
      </c>
      <c r="S846" s="105">
        <v>44554</v>
      </c>
      <c r="T846" s="106">
        <f t="shared" si="12"/>
        <v>0.332000000000001</v>
      </c>
    </row>
    <row r="847" spans="3:20">
      <c r="C847" s="105">
        <v>44553</v>
      </c>
      <c r="D847" s="106">
        <v>19.376</v>
      </c>
      <c r="E847" s="100">
        <v>18.482</v>
      </c>
      <c r="F847" s="100">
        <v>5</v>
      </c>
      <c r="G847" s="100">
        <v>-19</v>
      </c>
      <c r="H847" s="100">
        <v>1</v>
      </c>
      <c r="I847" s="100">
        <v>-39</v>
      </c>
      <c r="K847" s="105">
        <v>44553</v>
      </c>
      <c r="L847" s="100">
        <v>22.925</v>
      </c>
      <c r="M847" s="106">
        <v>19.117</v>
      </c>
      <c r="N847" s="100">
        <v>20</v>
      </c>
      <c r="O847" s="100">
        <v>45</v>
      </c>
      <c r="P847" s="100">
        <v>66</v>
      </c>
      <c r="Q847" s="100">
        <v>25</v>
      </c>
      <c r="S847" s="105">
        <v>44553</v>
      </c>
      <c r="T847" s="106">
        <f t="shared" si="12"/>
        <v>0.259</v>
      </c>
    </row>
    <row r="848" spans="3:20">
      <c r="C848" s="105">
        <v>44552</v>
      </c>
      <c r="D848" s="106">
        <v>19.083</v>
      </c>
      <c r="E848" s="100">
        <v>18.348</v>
      </c>
      <c r="F848" s="100">
        <v>4</v>
      </c>
      <c r="G848" s="100">
        <v>-19</v>
      </c>
      <c r="H848" s="100">
        <v>1</v>
      </c>
      <c r="I848" s="100">
        <v>-39</v>
      </c>
      <c r="K848" s="105">
        <v>44552</v>
      </c>
      <c r="L848" s="100">
        <v>22.62</v>
      </c>
      <c r="M848" s="106">
        <v>18.958</v>
      </c>
      <c r="N848" s="100">
        <v>19</v>
      </c>
      <c r="O848" s="100">
        <v>45</v>
      </c>
      <c r="P848" s="100">
        <v>66</v>
      </c>
      <c r="Q848" s="100">
        <v>25</v>
      </c>
      <c r="S848" s="105">
        <v>44552</v>
      </c>
      <c r="T848" s="106">
        <f t="shared" si="12"/>
        <v>0.125</v>
      </c>
    </row>
    <row r="849" spans="3:20">
      <c r="C849" s="105">
        <v>44551</v>
      </c>
      <c r="D849" s="106">
        <v>19.048</v>
      </c>
      <c r="E849" s="100">
        <v>18.209</v>
      </c>
      <c r="F849" s="100">
        <v>5</v>
      </c>
      <c r="G849" s="100">
        <v>-19</v>
      </c>
      <c r="H849" s="100">
        <v>1</v>
      </c>
      <c r="I849" s="100">
        <v>-39</v>
      </c>
      <c r="K849" s="105">
        <v>44551</v>
      </c>
      <c r="L849" s="100">
        <v>22.308</v>
      </c>
      <c r="M849" s="106">
        <v>18.795</v>
      </c>
      <c r="N849" s="100">
        <v>19</v>
      </c>
      <c r="O849" s="100">
        <v>45</v>
      </c>
      <c r="P849" s="100">
        <v>66</v>
      </c>
      <c r="Q849" s="100">
        <v>25</v>
      </c>
      <c r="S849" s="105">
        <v>44551</v>
      </c>
      <c r="T849" s="106">
        <f t="shared" si="12"/>
        <v>0.252999999999997</v>
      </c>
    </row>
    <row r="850" spans="3:20">
      <c r="C850" s="105">
        <v>44550</v>
      </c>
      <c r="D850" s="106">
        <v>18.128</v>
      </c>
      <c r="E850" s="100">
        <v>17.812</v>
      </c>
      <c r="F850" s="100">
        <v>2</v>
      </c>
      <c r="G850" s="100">
        <v>-19</v>
      </c>
      <c r="H850" s="100">
        <v>1</v>
      </c>
      <c r="I850" s="100">
        <v>-39</v>
      </c>
      <c r="K850" s="105">
        <v>44550</v>
      </c>
      <c r="L850" s="100">
        <v>22.133</v>
      </c>
      <c r="M850" s="106">
        <v>18.43</v>
      </c>
      <c r="N850" s="100">
        <v>20</v>
      </c>
      <c r="O850" s="100">
        <v>45</v>
      </c>
      <c r="P850" s="100">
        <v>66</v>
      </c>
      <c r="Q850" s="100">
        <v>25</v>
      </c>
      <c r="S850" s="105">
        <v>44550</v>
      </c>
      <c r="T850" s="106">
        <f t="shared" si="12"/>
        <v>-0.302</v>
      </c>
    </row>
    <row r="851" spans="3:20">
      <c r="C851" s="105">
        <v>44547</v>
      </c>
      <c r="D851" s="106">
        <v>18.027</v>
      </c>
      <c r="E851" s="100">
        <v>18.018</v>
      </c>
      <c r="F851" s="100">
        <v>0</v>
      </c>
      <c r="G851" s="100">
        <v>-19</v>
      </c>
      <c r="H851" s="100">
        <v>1</v>
      </c>
      <c r="I851" s="100">
        <v>-39</v>
      </c>
      <c r="K851" s="105">
        <v>44547</v>
      </c>
      <c r="L851" s="100">
        <v>22.345</v>
      </c>
      <c r="M851" s="106">
        <v>18.637</v>
      </c>
      <c r="N851" s="100">
        <v>20</v>
      </c>
      <c r="O851" s="100">
        <v>45</v>
      </c>
      <c r="P851" s="100">
        <v>66</v>
      </c>
      <c r="Q851" s="100">
        <v>25</v>
      </c>
      <c r="S851" s="105">
        <v>44547</v>
      </c>
      <c r="T851" s="106">
        <f t="shared" si="12"/>
        <v>-0.609999999999999</v>
      </c>
    </row>
    <row r="852" spans="3:20">
      <c r="C852" s="105">
        <v>44546</v>
      </c>
      <c r="D852" s="106">
        <v>18.182</v>
      </c>
      <c r="E852" s="100">
        <v>18.04</v>
      </c>
      <c r="F852" s="100">
        <v>1</v>
      </c>
      <c r="G852" s="100">
        <v>-19</v>
      </c>
      <c r="H852" s="100">
        <v>1</v>
      </c>
      <c r="I852" s="100">
        <v>-39</v>
      </c>
      <c r="K852" s="105">
        <v>44546</v>
      </c>
      <c r="L852" s="100">
        <v>22.096</v>
      </c>
      <c r="M852" s="106">
        <v>18.619</v>
      </c>
      <c r="N852" s="100">
        <v>19</v>
      </c>
      <c r="O852" s="100">
        <v>45</v>
      </c>
      <c r="P852" s="100">
        <v>66</v>
      </c>
      <c r="Q852" s="100">
        <v>25</v>
      </c>
      <c r="S852" s="105">
        <v>44546</v>
      </c>
      <c r="T852" s="106">
        <f t="shared" si="12"/>
        <v>-0.437000000000001</v>
      </c>
    </row>
    <row r="853" spans="3:20">
      <c r="C853" s="105">
        <v>44545</v>
      </c>
      <c r="D853" s="106">
        <v>18.567</v>
      </c>
      <c r="E853" s="100">
        <v>18.178</v>
      </c>
      <c r="F853" s="100">
        <v>2</v>
      </c>
      <c r="G853" s="100">
        <v>-19</v>
      </c>
      <c r="H853" s="100">
        <v>1</v>
      </c>
      <c r="I853" s="100">
        <v>-39</v>
      </c>
      <c r="K853" s="105">
        <v>44545</v>
      </c>
      <c r="L853" s="100">
        <v>22.137</v>
      </c>
      <c r="M853" s="106">
        <v>18.743</v>
      </c>
      <c r="N853" s="100">
        <v>18</v>
      </c>
      <c r="O853" s="100">
        <v>45</v>
      </c>
      <c r="P853" s="100">
        <v>66</v>
      </c>
      <c r="Q853" s="100">
        <v>25</v>
      </c>
      <c r="S853" s="105">
        <v>44545</v>
      </c>
      <c r="T853" s="106">
        <f t="shared" si="12"/>
        <v>-0.175999999999998</v>
      </c>
    </row>
    <row r="854" spans="3:20">
      <c r="C854" s="105">
        <v>44544</v>
      </c>
      <c r="D854" s="106">
        <v>19.227</v>
      </c>
      <c r="E854" s="100">
        <v>18.865</v>
      </c>
      <c r="F854" s="100">
        <v>2</v>
      </c>
      <c r="G854" s="100">
        <v>-19</v>
      </c>
      <c r="H854" s="100">
        <v>1</v>
      </c>
      <c r="I854" s="100">
        <v>-39</v>
      </c>
      <c r="K854" s="105">
        <v>44544</v>
      </c>
      <c r="L854" s="100">
        <v>22.244</v>
      </c>
      <c r="M854" s="106">
        <v>19.348</v>
      </c>
      <c r="N854" s="100">
        <v>15</v>
      </c>
      <c r="O854" s="100">
        <v>45</v>
      </c>
      <c r="P854" s="100">
        <v>66</v>
      </c>
      <c r="Q854" s="100">
        <v>25</v>
      </c>
      <c r="S854" s="105">
        <v>44544</v>
      </c>
      <c r="T854" s="106">
        <f t="shared" ref="T854:T917" si="13">D854-M854</f>
        <v>-0.120999999999999</v>
      </c>
    </row>
    <row r="855" spans="3:20">
      <c r="C855" s="105">
        <v>44543</v>
      </c>
      <c r="D855" s="106">
        <v>19.63</v>
      </c>
      <c r="E855" s="100">
        <v>18.807</v>
      </c>
      <c r="F855" s="100">
        <v>4</v>
      </c>
      <c r="G855" s="100">
        <v>-19</v>
      </c>
      <c r="H855" s="100">
        <v>1</v>
      </c>
      <c r="I855" s="100">
        <v>-39</v>
      </c>
      <c r="K855" s="105">
        <v>44543</v>
      </c>
      <c r="L855" s="100">
        <v>21.976</v>
      </c>
      <c r="M855" s="106">
        <v>19.259</v>
      </c>
      <c r="N855" s="100">
        <v>14</v>
      </c>
      <c r="O855" s="100">
        <v>45</v>
      </c>
      <c r="P855" s="100">
        <v>66</v>
      </c>
      <c r="Q855" s="100">
        <v>25</v>
      </c>
      <c r="S855" s="105">
        <v>44543</v>
      </c>
      <c r="T855" s="106">
        <f t="shared" si="13"/>
        <v>0.370999999999999</v>
      </c>
    </row>
    <row r="856" spans="3:20">
      <c r="C856" s="105">
        <v>44540</v>
      </c>
      <c r="D856" s="106">
        <v>20.05</v>
      </c>
      <c r="E856" s="100">
        <v>18.937</v>
      </c>
      <c r="F856" s="100">
        <v>6</v>
      </c>
      <c r="G856" s="100">
        <v>-19</v>
      </c>
      <c r="H856" s="100">
        <v>1</v>
      </c>
      <c r="I856" s="100">
        <v>-39</v>
      </c>
      <c r="K856" s="105">
        <v>44540</v>
      </c>
      <c r="L856" s="100">
        <v>22.169</v>
      </c>
      <c r="M856" s="106">
        <v>19.399</v>
      </c>
      <c r="N856" s="100">
        <v>14</v>
      </c>
      <c r="O856" s="100">
        <v>45</v>
      </c>
      <c r="P856" s="100">
        <v>66</v>
      </c>
      <c r="Q856" s="100">
        <v>25</v>
      </c>
      <c r="S856" s="105">
        <v>44540</v>
      </c>
      <c r="T856" s="106">
        <f t="shared" si="13"/>
        <v>0.651</v>
      </c>
    </row>
    <row r="857" spans="3:20">
      <c r="C857" s="105">
        <v>44539</v>
      </c>
      <c r="D857" s="106">
        <v>20.669</v>
      </c>
      <c r="E857" s="100">
        <v>19.052</v>
      </c>
      <c r="F857" s="100">
        <v>8</v>
      </c>
      <c r="G857" s="100">
        <v>-19</v>
      </c>
      <c r="H857" s="100">
        <v>1</v>
      </c>
      <c r="I857" s="100">
        <v>-39</v>
      </c>
      <c r="K857" s="105">
        <v>44539</v>
      </c>
      <c r="L857" s="100">
        <v>21.848</v>
      </c>
      <c r="M857" s="106">
        <v>19.451</v>
      </c>
      <c r="N857" s="100">
        <v>12</v>
      </c>
      <c r="O857" s="100">
        <v>45</v>
      </c>
      <c r="P857" s="100">
        <v>66</v>
      </c>
      <c r="Q857" s="100">
        <v>25</v>
      </c>
      <c r="S857" s="105">
        <v>44539</v>
      </c>
      <c r="T857" s="106">
        <f t="shared" si="13"/>
        <v>1.218</v>
      </c>
    </row>
    <row r="858" spans="3:20">
      <c r="C858" s="105">
        <v>44538</v>
      </c>
      <c r="D858" s="106">
        <v>20.707</v>
      </c>
      <c r="E858" s="100">
        <v>19.467</v>
      </c>
      <c r="F858" s="100">
        <v>6</v>
      </c>
      <c r="G858" s="100">
        <v>-19</v>
      </c>
      <c r="H858" s="100">
        <v>1</v>
      </c>
      <c r="I858" s="100">
        <v>-39</v>
      </c>
      <c r="K858" s="105">
        <v>44538</v>
      </c>
      <c r="L858" s="100">
        <v>22.326</v>
      </c>
      <c r="M858" s="106">
        <v>19.876</v>
      </c>
      <c r="N858" s="100">
        <v>12</v>
      </c>
      <c r="O858" s="100">
        <v>45</v>
      </c>
      <c r="P858" s="100">
        <v>66</v>
      </c>
      <c r="Q858" s="100">
        <v>25</v>
      </c>
      <c r="S858" s="105">
        <v>44538</v>
      </c>
      <c r="T858" s="106">
        <f t="shared" si="13"/>
        <v>0.831</v>
      </c>
    </row>
    <row r="859" spans="3:20">
      <c r="C859" s="105">
        <v>44537</v>
      </c>
      <c r="D859" s="106">
        <v>20.836</v>
      </c>
      <c r="E859" s="100">
        <v>19.791</v>
      </c>
      <c r="F859" s="100">
        <v>5</v>
      </c>
      <c r="G859" s="100">
        <v>-19</v>
      </c>
      <c r="H859" s="100">
        <v>1</v>
      </c>
      <c r="I859" s="100">
        <v>-39</v>
      </c>
      <c r="K859" s="105">
        <v>44537</v>
      </c>
      <c r="L859" s="100">
        <v>22.21</v>
      </c>
      <c r="M859" s="106">
        <v>20.137</v>
      </c>
      <c r="N859" s="100">
        <v>10</v>
      </c>
      <c r="O859" s="100">
        <v>45</v>
      </c>
      <c r="P859" s="100">
        <v>66</v>
      </c>
      <c r="Q859" s="100">
        <v>25</v>
      </c>
      <c r="S859" s="105">
        <v>44537</v>
      </c>
      <c r="T859" s="106">
        <f t="shared" si="13"/>
        <v>0.698999999999998</v>
      </c>
    </row>
    <row r="860" spans="3:20">
      <c r="C860" s="105">
        <v>44536</v>
      </c>
      <c r="D860" s="106">
        <v>20.138</v>
      </c>
      <c r="E860" s="100">
        <v>19.295</v>
      </c>
      <c r="F860" s="100">
        <v>4</v>
      </c>
      <c r="G860" s="100">
        <v>-19</v>
      </c>
      <c r="H860" s="100">
        <v>1</v>
      </c>
      <c r="I860" s="100">
        <v>-39</v>
      </c>
      <c r="K860" s="105">
        <v>44536</v>
      </c>
      <c r="L860" s="100">
        <v>21.814</v>
      </c>
      <c r="M860" s="106">
        <v>19.655</v>
      </c>
      <c r="N860" s="100">
        <v>11</v>
      </c>
      <c r="O860" s="100">
        <v>45</v>
      </c>
      <c r="P860" s="100">
        <v>66</v>
      </c>
      <c r="Q860" s="100">
        <v>25</v>
      </c>
      <c r="S860" s="105">
        <v>44536</v>
      </c>
      <c r="T860" s="106">
        <f t="shared" si="13"/>
        <v>0.483000000000001</v>
      </c>
    </row>
    <row r="861" spans="3:20">
      <c r="C861" s="105">
        <v>44533</v>
      </c>
      <c r="D861" s="106">
        <v>19.9</v>
      </c>
      <c r="E861" s="100">
        <v>18.845</v>
      </c>
      <c r="F861" s="100">
        <v>6</v>
      </c>
      <c r="G861" s="100">
        <v>-19</v>
      </c>
      <c r="H861" s="100">
        <v>1</v>
      </c>
      <c r="I861" s="100">
        <v>-39</v>
      </c>
      <c r="K861" s="105">
        <v>44533</v>
      </c>
      <c r="L861" s="100">
        <v>21.604</v>
      </c>
      <c r="M861" s="106">
        <v>19.239</v>
      </c>
      <c r="N861" s="100">
        <v>12</v>
      </c>
      <c r="O861" s="100">
        <v>45</v>
      </c>
      <c r="P861" s="100">
        <v>66</v>
      </c>
      <c r="Q861" s="100">
        <v>25</v>
      </c>
      <c r="S861" s="105">
        <v>44533</v>
      </c>
      <c r="T861" s="106">
        <f t="shared" si="13"/>
        <v>0.660999999999998</v>
      </c>
    </row>
    <row r="862" spans="3:20">
      <c r="C862" s="105">
        <v>44532</v>
      </c>
      <c r="D862" s="106">
        <v>20.044</v>
      </c>
      <c r="E862" s="100">
        <v>18.994</v>
      </c>
      <c r="F862" s="100">
        <v>6</v>
      </c>
      <c r="G862" s="100">
        <v>-19</v>
      </c>
      <c r="H862" s="100">
        <v>1</v>
      </c>
      <c r="I862" s="100">
        <v>-39</v>
      </c>
      <c r="K862" s="105">
        <v>44532</v>
      </c>
      <c r="L862" s="100">
        <v>21.803</v>
      </c>
      <c r="M862" s="106">
        <v>19.396</v>
      </c>
      <c r="N862" s="100">
        <v>12</v>
      </c>
      <c r="O862" s="100">
        <v>45</v>
      </c>
      <c r="P862" s="100">
        <v>66</v>
      </c>
      <c r="Q862" s="100">
        <v>25</v>
      </c>
      <c r="S862" s="105">
        <v>44532</v>
      </c>
      <c r="T862" s="106">
        <f t="shared" si="13"/>
        <v>0.648</v>
      </c>
    </row>
    <row r="863" spans="3:20">
      <c r="C863" s="105">
        <v>44531</v>
      </c>
      <c r="D863" s="106">
        <v>21.259</v>
      </c>
      <c r="E863" s="100">
        <v>19.428</v>
      </c>
      <c r="F863" s="100">
        <v>9</v>
      </c>
      <c r="G863" s="100">
        <v>-19</v>
      </c>
      <c r="H863" s="100">
        <v>1</v>
      </c>
      <c r="I863" s="100">
        <v>-39</v>
      </c>
      <c r="K863" s="105">
        <v>44531</v>
      </c>
      <c r="L863" s="100">
        <v>22.392</v>
      </c>
      <c r="M863" s="106">
        <v>19.852</v>
      </c>
      <c r="N863" s="100">
        <v>13</v>
      </c>
      <c r="O863" s="100">
        <v>45</v>
      </c>
      <c r="P863" s="100">
        <v>66</v>
      </c>
      <c r="Q863" s="100">
        <v>25</v>
      </c>
      <c r="S863" s="105">
        <v>44531</v>
      </c>
      <c r="T863" s="106">
        <f t="shared" si="13"/>
        <v>1.407</v>
      </c>
    </row>
    <row r="864" spans="3:20">
      <c r="C864" s="105">
        <v>44530</v>
      </c>
      <c r="D864" s="106">
        <v>21.131</v>
      </c>
      <c r="E864" s="100">
        <v>18.952</v>
      </c>
      <c r="F864" s="100">
        <v>11</v>
      </c>
      <c r="G864" s="100">
        <v>-19</v>
      </c>
      <c r="H864" s="100">
        <v>1</v>
      </c>
      <c r="I864" s="100">
        <v>-39</v>
      </c>
      <c r="K864" s="105">
        <v>44530</v>
      </c>
      <c r="L864" s="100">
        <v>21.572</v>
      </c>
      <c r="M864" s="106">
        <v>19.326</v>
      </c>
      <c r="N864" s="100">
        <v>12</v>
      </c>
      <c r="O864" s="100">
        <v>45</v>
      </c>
      <c r="P864" s="100">
        <v>66</v>
      </c>
      <c r="Q864" s="100">
        <v>25</v>
      </c>
      <c r="S864" s="105">
        <v>44530</v>
      </c>
      <c r="T864" s="106">
        <f t="shared" si="13"/>
        <v>1.805</v>
      </c>
    </row>
    <row r="865" spans="3:20">
      <c r="C865" s="105">
        <v>44529</v>
      </c>
      <c r="D865" s="106">
        <v>21.858</v>
      </c>
      <c r="E865" s="100">
        <v>19.578</v>
      </c>
      <c r="F865" s="100">
        <v>12</v>
      </c>
      <c r="G865" s="100">
        <v>-19</v>
      </c>
      <c r="H865" s="100">
        <v>1</v>
      </c>
      <c r="I865" s="100">
        <v>-39</v>
      </c>
      <c r="K865" s="105">
        <v>44529</v>
      </c>
      <c r="L865" s="100">
        <v>22.801</v>
      </c>
      <c r="M865" s="106">
        <v>20.039</v>
      </c>
      <c r="N865" s="100">
        <v>14</v>
      </c>
      <c r="O865" s="100">
        <v>45</v>
      </c>
      <c r="P865" s="100">
        <v>66</v>
      </c>
      <c r="Q865" s="100">
        <v>25</v>
      </c>
      <c r="S865" s="105">
        <v>44529</v>
      </c>
      <c r="T865" s="106">
        <f t="shared" si="13"/>
        <v>1.819</v>
      </c>
    </row>
    <row r="866" spans="3:20">
      <c r="C866" s="105">
        <v>44526</v>
      </c>
      <c r="D866" s="106">
        <v>20.909</v>
      </c>
      <c r="E866" s="100">
        <v>19.09</v>
      </c>
      <c r="F866" s="100">
        <v>10</v>
      </c>
      <c r="G866" s="100">
        <v>-19</v>
      </c>
      <c r="H866" s="100">
        <v>1</v>
      </c>
      <c r="I866" s="100">
        <v>-39</v>
      </c>
      <c r="K866" s="105">
        <v>44526</v>
      </c>
      <c r="L866" s="100">
        <v>22.744</v>
      </c>
      <c r="M866" s="106">
        <v>19.612</v>
      </c>
      <c r="N866" s="100">
        <v>16</v>
      </c>
      <c r="O866" s="100">
        <v>45</v>
      </c>
      <c r="P866" s="100">
        <v>66</v>
      </c>
      <c r="Q866" s="100">
        <v>25</v>
      </c>
      <c r="S866" s="105">
        <v>44526</v>
      </c>
      <c r="T866" s="106">
        <f t="shared" si="13"/>
        <v>1.297</v>
      </c>
    </row>
    <row r="867" spans="3:20">
      <c r="C867" s="105">
        <v>44525</v>
      </c>
      <c r="D867" s="106">
        <v>21.551</v>
      </c>
      <c r="E867" s="100">
        <v>20.083</v>
      </c>
      <c r="F867" s="100">
        <v>7</v>
      </c>
      <c r="G867" s="100">
        <v>-19</v>
      </c>
      <c r="H867" s="100">
        <v>1</v>
      </c>
      <c r="I867" s="100">
        <v>-39</v>
      </c>
      <c r="K867" s="105">
        <v>44525</v>
      </c>
      <c r="L867" s="100">
        <v>22.664</v>
      </c>
      <c r="M867" s="106">
        <v>20.452</v>
      </c>
      <c r="N867" s="100">
        <v>11</v>
      </c>
      <c r="O867" s="100">
        <v>45</v>
      </c>
      <c r="P867" s="100">
        <v>66</v>
      </c>
      <c r="Q867" s="100">
        <v>25</v>
      </c>
      <c r="S867" s="105">
        <v>44525</v>
      </c>
      <c r="T867" s="106">
        <f t="shared" si="13"/>
        <v>1.099</v>
      </c>
    </row>
    <row r="868" spans="3:20">
      <c r="C868" s="105">
        <v>44524</v>
      </c>
      <c r="D868" s="106">
        <v>21.567</v>
      </c>
      <c r="E868" s="100">
        <v>20.146</v>
      </c>
      <c r="F868" s="100">
        <v>7</v>
      </c>
      <c r="G868" s="100">
        <v>-19</v>
      </c>
      <c r="H868" s="100">
        <v>1</v>
      </c>
      <c r="I868" s="100">
        <v>-39</v>
      </c>
      <c r="K868" s="105">
        <v>44524</v>
      </c>
      <c r="L868" s="100">
        <v>22.626</v>
      </c>
      <c r="M868" s="106">
        <v>20.5</v>
      </c>
      <c r="N868" s="100">
        <v>10</v>
      </c>
      <c r="O868" s="100">
        <v>45</v>
      </c>
      <c r="P868" s="100">
        <v>66</v>
      </c>
      <c r="Q868" s="100">
        <v>25</v>
      </c>
      <c r="S868" s="105">
        <v>44524</v>
      </c>
      <c r="T868" s="106">
        <f t="shared" si="13"/>
        <v>1.067</v>
      </c>
    </row>
    <row r="869" spans="3:20">
      <c r="C869" s="105">
        <v>44523</v>
      </c>
      <c r="D869" s="106">
        <v>21.983</v>
      </c>
      <c r="E869" s="100">
        <v>20.539</v>
      </c>
      <c r="F869" s="100">
        <v>7</v>
      </c>
      <c r="G869" s="100">
        <v>-19</v>
      </c>
      <c r="H869" s="100">
        <v>1</v>
      </c>
      <c r="I869" s="100">
        <v>-39</v>
      </c>
      <c r="K869" s="105">
        <v>44523</v>
      </c>
      <c r="L869" s="100">
        <v>22.381</v>
      </c>
      <c r="M869" s="106">
        <v>20.802</v>
      </c>
      <c r="N869" s="100">
        <v>8</v>
      </c>
      <c r="O869" s="100">
        <v>45</v>
      </c>
      <c r="P869" s="100">
        <v>66</v>
      </c>
      <c r="Q869" s="100">
        <v>25</v>
      </c>
      <c r="S869" s="105">
        <v>44523</v>
      </c>
      <c r="T869" s="106">
        <f t="shared" si="13"/>
        <v>1.181</v>
      </c>
    </row>
    <row r="870" spans="3:20">
      <c r="C870" s="105">
        <v>44522</v>
      </c>
      <c r="D870" s="106">
        <v>21.971</v>
      </c>
      <c r="E870" s="100">
        <v>20.3</v>
      </c>
      <c r="F870" s="100">
        <v>8</v>
      </c>
      <c r="G870" s="100">
        <v>-19</v>
      </c>
      <c r="H870" s="100">
        <v>1</v>
      </c>
      <c r="I870" s="100">
        <v>-39</v>
      </c>
      <c r="K870" s="105">
        <v>44522</v>
      </c>
      <c r="L870" s="100">
        <v>22.222</v>
      </c>
      <c r="M870" s="106">
        <v>20.575</v>
      </c>
      <c r="N870" s="100">
        <v>8</v>
      </c>
      <c r="O870" s="100">
        <v>45</v>
      </c>
      <c r="P870" s="100">
        <v>66</v>
      </c>
      <c r="Q870" s="100">
        <v>25</v>
      </c>
      <c r="S870" s="105">
        <v>44522</v>
      </c>
      <c r="T870" s="106">
        <f t="shared" si="13"/>
        <v>1.396</v>
      </c>
    </row>
    <row r="871" spans="3:20">
      <c r="C871" s="105">
        <v>44519</v>
      </c>
      <c r="D871" s="106">
        <v>22.179</v>
      </c>
      <c r="E871" s="100">
        <v>20.109</v>
      </c>
      <c r="F871" s="100">
        <v>10</v>
      </c>
      <c r="G871" s="100">
        <v>-19</v>
      </c>
      <c r="H871" s="100">
        <v>1</v>
      </c>
      <c r="I871" s="100">
        <v>-39</v>
      </c>
      <c r="K871" s="105">
        <v>44519</v>
      </c>
      <c r="L871" s="100">
        <v>22.297</v>
      </c>
      <c r="M871" s="106">
        <v>20.422</v>
      </c>
      <c r="N871" s="100">
        <v>9</v>
      </c>
      <c r="O871" s="100">
        <v>45</v>
      </c>
      <c r="P871" s="100">
        <v>66</v>
      </c>
      <c r="Q871" s="100">
        <v>25</v>
      </c>
      <c r="S871" s="105">
        <v>44519</v>
      </c>
      <c r="T871" s="106">
        <f t="shared" si="13"/>
        <v>1.757</v>
      </c>
    </row>
    <row r="872" spans="3:20">
      <c r="C872" s="105">
        <v>44518</v>
      </c>
      <c r="D872" s="106">
        <v>22.242</v>
      </c>
      <c r="E872" s="100">
        <v>20.48</v>
      </c>
      <c r="F872" s="100">
        <v>9</v>
      </c>
      <c r="G872" s="100">
        <v>-19</v>
      </c>
      <c r="H872" s="100">
        <v>1</v>
      </c>
      <c r="I872" s="100">
        <v>-39</v>
      </c>
      <c r="K872" s="105">
        <v>44518</v>
      </c>
      <c r="L872" s="100">
        <v>22.224</v>
      </c>
      <c r="M872" s="106">
        <v>20.73</v>
      </c>
      <c r="N872" s="100">
        <v>7</v>
      </c>
      <c r="O872" s="100">
        <v>45</v>
      </c>
      <c r="P872" s="100">
        <v>66</v>
      </c>
      <c r="Q872" s="100">
        <v>25</v>
      </c>
      <c r="S872" s="105">
        <v>44518</v>
      </c>
      <c r="T872" s="106">
        <f t="shared" si="13"/>
        <v>1.512</v>
      </c>
    </row>
    <row r="873" spans="3:20">
      <c r="C873" s="105">
        <v>44517</v>
      </c>
      <c r="D873" s="106">
        <v>21.992</v>
      </c>
      <c r="E873" s="100">
        <v>20.46</v>
      </c>
      <c r="F873" s="100">
        <v>7</v>
      </c>
      <c r="G873" s="100">
        <v>-19</v>
      </c>
      <c r="H873" s="100">
        <v>1</v>
      </c>
      <c r="I873" s="100">
        <v>-39</v>
      </c>
      <c r="K873" s="105">
        <v>44517</v>
      </c>
      <c r="L873" s="100">
        <v>22.178</v>
      </c>
      <c r="M873" s="106">
        <v>20.706</v>
      </c>
      <c r="N873" s="100">
        <v>7</v>
      </c>
      <c r="O873" s="100">
        <v>45</v>
      </c>
      <c r="P873" s="100">
        <v>66</v>
      </c>
      <c r="Q873" s="100">
        <v>25</v>
      </c>
      <c r="S873" s="105">
        <v>44517</v>
      </c>
      <c r="T873" s="106">
        <f t="shared" si="13"/>
        <v>1.286</v>
      </c>
    </row>
    <row r="874" spans="3:20">
      <c r="C874" s="105">
        <v>44516</v>
      </c>
      <c r="D874" s="106">
        <v>22.123</v>
      </c>
      <c r="E874" s="100">
        <v>20.648</v>
      </c>
      <c r="F874" s="100">
        <v>7</v>
      </c>
      <c r="G874" s="100">
        <v>-19</v>
      </c>
      <c r="H874" s="100">
        <v>1</v>
      </c>
      <c r="I874" s="100">
        <v>-39</v>
      </c>
      <c r="K874" s="105">
        <v>44516</v>
      </c>
      <c r="L874" s="100">
        <v>23.61</v>
      </c>
      <c r="M874" s="106">
        <v>21.071</v>
      </c>
      <c r="N874" s="100">
        <v>12</v>
      </c>
      <c r="O874" s="100">
        <v>45</v>
      </c>
      <c r="P874" s="100">
        <v>66</v>
      </c>
      <c r="Q874" s="100">
        <v>25</v>
      </c>
      <c r="S874" s="105">
        <v>44516</v>
      </c>
      <c r="T874" s="106">
        <f t="shared" si="13"/>
        <v>1.052</v>
      </c>
    </row>
    <row r="875" spans="3:20">
      <c r="C875" s="105">
        <v>44515</v>
      </c>
      <c r="D875" s="106">
        <v>22.016</v>
      </c>
      <c r="E875" s="100">
        <v>20.595</v>
      </c>
      <c r="F875" s="100">
        <v>7</v>
      </c>
      <c r="G875" s="100">
        <v>-19</v>
      </c>
      <c r="H875" s="100">
        <v>1</v>
      </c>
      <c r="I875" s="100">
        <v>-39</v>
      </c>
      <c r="K875" s="105">
        <v>44515</v>
      </c>
      <c r="L875" s="100">
        <v>23.858</v>
      </c>
      <c r="M875" s="106">
        <v>21.061</v>
      </c>
      <c r="N875" s="100">
        <v>13</v>
      </c>
      <c r="O875" s="100">
        <v>45</v>
      </c>
      <c r="P875" s="100">
        <v>66</v>
      </c>
      <c r="Q875" s="100">
        <v>25</v>
      </c>
      <c r="S875" s="105">
        <v>44515</v>
      </c>
      <c r="T875" s="106">
        <f t="shared" si="13"/>
        <v>0.954999999999998</v>
      </c>
    </row>
    <row r="876" spans="3:20">
      <c r="C876" s="105">
        <v>44512</v>
      </c>
      <c r="D876" s="106">
        <v>22.13</v>
      </c>
      <c r="E876" s="100">
        <v>20.507</v>
      </c>
      <c r="F876" s="100">
        <v>8</v>
      </c>
      <c r="G876" s="100">
        <v>-19</v>
      </c>
      <c r="H876" s="100">
        <v>1</v>
      </c>
      <c r="I876" s="100">
        <v>-39</v>
      </c>
      <c r="K876" s="105">
        <v>44512</v>
      </c>
      <c r="L876" s="100">
        <v>23.167</v>
      </c>
      <c r="M876" s="106">
        <v>20.887</v>
      </c>
      <c r="N876" s="100">
        <v>11</v>
      </c>
      <c r="O876" s="100">
        <v>45</v>
      </c>
      <c r="P876" s="100">
        <v>66</v>
      </c>
      <c r="Q876" s="100">
        <v>25</v>
      </c>
      <c r="S876" s="105">
        <v>44512</v>
      </c>
      <c r="T876" s="106">
        <f t="shared" si="13"/>
        <v>1.243</v>
      </c>
    </row>
    <row r="877" spans="3:20">
      <c r="C877" s="105">
        <v>44511</v>
      </c>
      <c r="D877" s="106">
        <v>22.012</v>
      </c>
      <c r="E877" s="100">
        <v>20.536</v>
      </c>
      <c r="F877" s="100">
        <v>7</v>
      </c>
      <c r="G877" s="100">
        <v>-19</v>
      </c>
      <c r="H877" s="100">
        <v>1</v>
      </c>
      <c r="I877" s="100">
        <v>-39</v>
      </c>
      <c r="K877" s="105">
        <v>44511</v>
      </c>
      <c r="L877" s="100">
        <v>23.354</v>
      </c>
      <c r="M877" s="106">
        <v>20.939</v>
      </c>
      <c r="N877" s="100">
        <v>12</v>
      </c>
      <c r="O877" s="100">
        <v>45</v>
      </c>
      <c r="P877" s="100">
        <v>66</v>
      </c>
      <c r="Q877" s="100">
        <v>25</v>
      </c>
      <c r="S877" s="105">
        <v>44511</v>
      </c>
      <c r="T877" s="106">
        <f t="shared" si="13"/>
        <v>1.073</v>
      </c>
    </row>
    <row r="878" spans="3:20">
      <c r="C878" s="105">
        <v>44510</v>
      </c>
      <c r="D878" s="106">
        <v>21.914</v>
      </c>
      <c r="E878" s="100">
        <v>20.584</v>
      </c>
      <c r="F878" s="100">
        <v>6</v>
      </c>
      <c r="G878" s="100">
        <v>-19</v>
      </c>
      <c r="H878" s="100">
        <v>1</v>
      </c>
      <c r="I878" s="100">
        <v>-39</v>
      </c>
      <c r="K878" s="105">
        <v>44510</v>
      </c>
      <c r="L878" s="100">
        <v>23.75</v>
      </c>
      <c r="M878" s="106">
        <v>21.036</v>
      </c>
      <c r="N878" s="100">
        <v>13</v>
      </c>
      <c r="O878" s="100">
        <v>45</v>
      </c>
      <c r="P878" s="100">
        <v>66</v>
      </c>
      <c r="Q878" s="100">
        <v>25</v>
      </c>
      <c r="S878" s="105">
        <v>44510</v>
      </c>
      <c r="T878" s="106">
        <f t="shared" si="13"/>
        <v>0.878</v>
      </c>
    </row>
    <row r="879" spans="3:20">
      <c r="C879" s="105">
        <v>44509</v>
      </c>
      <c r="D879" s="106">
        <v>21.274</v>
      </c>
      <c r="E879" s="100">
        <v>20.292</v>
      </c>
      <c r="F879" s="100">
        <v>5</v>
      </c>
      <c r="G879" s="100">
        <v>-19</v>
      </c>
      <c r="H879" s="100">
        <v>1</v>
      </c>
      <c r="I879" s="100">
        <v>-39</v>
      </c>
      <c r="K879" s="105">
        <v>44509</v>
      </c>
      <c r="L879" s="100">
        <v>23.551</v>
      </c>
      <c r="M879" s="106">
        <v>20.758</v>
      </c>
      <c r="N879" s="100">
        <v>13</v>
      </c>
      <c r="O879" s="100">
        <v>45</v>
      </c>
      <c r="P879" s="100">
        <v>66</v>
      </c>
      <c r="Q879" s="100">
        <v>25</v>
      </c>
      <c r="S879" s="105">
        <v>44509</v>
      </c>
      <c r="T879" s="106">
        <f t="shared" si="13"/>
        <v>0.516000000000002</v>
      </c>
    </row>
    <row r="880" spans="3:20">
      <c r="C880" s="105">
        <v>44508</v>
      </c>
      <c r="D880" s="106">
        <v>21.233</v>
      </c>
      <c r="E880" s="100">
        <v>20.032</v>
      </c>
      <c r="F880" s="100">
        <v>6</v>
      </c>
      <c r="G880" s="100">
        <v>-19</v>
      </c>
      <c r="H880" s="100">
        <v>1</v>
      </c>
      <c r="I880" s="100">
        <v>-39</v>
      </c>
      <c r="K880" s="105">
        <v>44508</v>
      </c>
      <c r="L880" s="100">
        <v>23.732</v>
      </c>
      <c r="M880" s="106">
        <v>20.56</v>
      </c>
      <c r="N880" s="100">
        <v>15</v>
      </c>
      <c r="O880" s="100">
        <v>45</v>
      </c>
      <c r="P880" s="100">
        <v>66</v>
      </c>
      <c r="Q880" s="100">
        <v>25</v>
      </c>
      <c r="S880" s="105">
        <v>44508</v>
      </c>
      <c r="T880" s="106">
        <f t="shared" si="13"/>
        <v>0.673000000000002</v>
      </c>
    </row>
    <row r="881" spans="3:20">
      <c r="C881" s="105">
        <v>44505</v>
      </c>
      <c r="D881" s="106">
        <v>21.423</v>
      </c>
      <c r="E881" s="100">
        <v>20.306</v>
      </c>
      <c r="F881" s="100">
        <v>6</v>
      </c>
      <c r="G881" s="100">
        <v>-19</v>
      </c>
      <c r="H881" s="100">
        <v>1</v>
      </c>
      <c r="I881" s="100">
        <v>-39</v>
      </c>
      <c r="K881" s="105">
        <v>44505</v>
      </c>
      <c r="L881" s="100">
        <v>23.808</v>
      </c>
      <c r="M881" s="106">
        <v>20.806</v>
      </c>
      <c r="N881" s="100">
        <v>14</v>
      </c>
      <c r="O881" s="100">
        <v>45</v>
      </c>
      <c r="P881" s="100">
        <v>66</v>
      </c>
      <c r="Q881" s="100">
        <v>25</v>
      </c>
      <c r="S881" s="105">
        <v>44505</v>
      </c>
      <c r="T881" s="106">
        <f t="shared" si="13"/>
        <v>0.616999999999997</v>
      </c>
    </row>
    <row r="882" spans="3:20">
      <c r="C882" s="105">
        <v>44504</v>
      </c>
      <c r="D882" s="106">
        <v>21.477</v>
      </c>
      <c r="E882" s="100">
        <v>20.347</v>
      </c>
      <c r="F882" s="100">
        <v>6</v>
      </c>
      <c r="G882" s="100">
        <v>-19</v>
      </c>
      <c r="H882" s="100">
        <v>1</v>
      </c>
      <c r="I882" s="100">
        <v>-39</v>
      </c>
      <c r="K882" s="105">
        <v>44504</v>
      </c>
      <c r="L882" s="100">
        <v>23.561</v>
      </c>
      <c r="M882" s="106">
        <v>20.806</v>
      </c>
      <c r="N882" s="100">
        <v>13</v>
      </c>
      <c r="O882" s="100">
        <v>45</v>
      </c>
      <c r="P882" s="100">
        <v>66</v>
      </c>
      <c r="Q882" s="100">
        <v>25</v>
      </c>
      <c r="S882" s="105">
        <v>44504</v>
      </c>
      <c r="T882" s="106">
        <f t="shared" si="13"/>
        <v>0.670999999999999</v>
      </c>
    </row>
    <row r="883" spans="3:20">
      <c r="C883" s="105">
        <v>44503</v>
      </c>
      <c r="D883" s="106">
        <v>20.71</v>
      </c>
      <c r="E883" s="100">
        <v>20.022</v>
      </c>
      <c r="F883" s="100">
        <v>3</v>
      </c>
      <c r="G883" s="100">
        <v>-19</v>
      </c>
      <c r="H883" s="100">
        <v>1</v>
      </c>
      <c r="I883" s="100">
        <v>-39</v>
      </c>
      <c r="K883" s="105">
        <v>44503</v>
      </c>
      <c r="L883" s="100">
        <v>23.448</v>
      </c>
      <c r="M883" s="106">
        <v>20.512</v>
      </c>
      <c r="N883" s="100">
        <v>14</v>
      </c>
      <c r="O883" s="100">
        <v>45</v>
      </c>
      <c r="P883" s="100">
        <v>66</v>
      </c>
      <c r="Q883" s="100">
        <v>25</v>
      </c>
      <c r="S883" s="105">
        <v>44503</v>
      </c>
      <c r="T883" s="106">
        <f t="shared" si="13"/>
        <v>0.198</v>
      </c>
    </row>
    <row r="884" spans="3:20">
      <c r="C884" s="105">
        <v>44502</v>
      </c>
      <c r="D884" s="106">
        <v>21.129</v>
      </c>
      <c r="E884" s="100">
        <v>20.135</v>
      </c>
      <c r="F884" s="100">
        <v>5</v>
      </c>
      <c r="G884" s="100">
        <v>-19</v>
      </c>
      <c r="H884" s="100">
        <v>1</v>
      </c>
      <c r="I884" s="100">
        <v>-39</v>
      </c>
      <c r="K884" s="105">
        <v>44502</v>
      </c>
      <c r="L884" s="100">
        <v>23.978</v>
      </c>
      <c r="M884" s="106">
        <v>20.684</v>
      </c>
      <c r="N884" s="100">
        <v>16</v>
      </c>
      <c r="O884" s="100">
        <v>45</v>
      </c>
      <c r="P884" s="100">
        <v>66</v>
      </c>
      <c r="Q884" s="100">
        <v>25</v>
      </c>
      <c r="S884" s="105">
        <v>44502</v>
      </c>
      <c r="T884" s="106">
        <f t="shared" si="13"/>
        <v>0.445</v>
      </c>
    </row>
    <row r="885" spans="3:20">
      <c r="C885" s="105">
        <v>44501</v>
      </c>
      <c r="D885" s="106">
        <v>21.041</v>
      </c>
      <c r="E885" s="100">
        <v>20.102</v>
      </c>
      <c r="F885" s="100">
        <v>5</v>
      </c>
      <c r="G885" s="100">
        <v>-19</v>
      </c>
      <c r="H885" s="100">
        <v>1</v>
      </c>
      <c r="I885" s="100">
        <v>-39</v>
      </c>
      <c r="K885" s="105">
        <v>44501</v>
      </c>
      <c r="L885" s="100">
        <v>23.841</v>
      </c>
      <c r="M885" s="106">
        <v>20.636</v>
      </c>
      <c r="N885" s="100">
        <v>16</v>
      </c>
      <c r="O885" s="100">
        <v>45</v>
      </c>
      <c r="P885" s="100">
        <v>66</v>
      </c>
      <c r="Q885" s="100">
        <v>25</v>
      </c>
      <c r="S885" s="105">
        <v>44501</v>
      </c>
      <c r="T885" s="106">
        <f t="shared" si="13"/>
        <v>0.405000000000001</v>
      </c>
    </row>
    <row r="886" spans="3:20">
      <c r="C886" s="105">
        <v>44498</v>
      </c>
      <c r="D886" s="106">
        <v>20.683</v>
      </c>
      <c r="E886" s="100">
        <v>19.752</v>
      </c>
      <c r="F886" s="100">
        <v>5</v>
      </c>
      <c r="G886" s="100">
        <v>-19</v>
      </c>
      <c r="H886" s="100">
        <v>1</v>
      </c>
      <c r="I886" s="100">
        <v>-39</v>
      </c>
      <c r="K886" s="105">
        <v>44498</v>
      </c>
      <c r="L886" s="100">
        <v>23.681</v>
      </c>
      <c r="M886" s="106">
        <v>20.314</v>
      </c>
      <c r="N886" s="100">
        <v>17</v>
      </c>
      <c r="O886" s="100">
        <v>45</v>
      </c>
      <c r="P886" s="100">
        <v>66</v>
      </c>
      <c r="Q886" s="100">
        <v>25</v>
      </c>
      <c r="S886" s="105">
        <v>44498</v>
      </c>
      <c r="T886" s="106">
        <f t="shared" si="13"/>
        <v>0.369</v>
      </c>
    </row>
    <row r="887" spans="3:20">
      <c r="C887" s="105">
        <v>44497</v>
      </c>
      <c r="D887" s="106">
        <v>20.781</v>
      </c>
      <c r="E887" s="100">
        <v>19.843</v>
      </c>
      <c r="F887" s="100">
        <v>5</v>
      </c>
      <c r="G887" s="100">
        <v>-19</v>
      </c>
      <c r="H887" s="100">
        <v>1</v>
      </c>
      <c r="I887" s="100">
        <v>-39</v>
      </c>
      <c r="K887" s="105">
        <v>44497</v>
      </c>
      <c r="L887" s="100">
        <v>23.856</v>
      </c>
      <c r="M887" s="106">
        <v>20.416</v>
      </c>
      <c r="N887" s="100">
        <v>17</v>
      </c>
      <c r="O887" s="100">
        <v>45</v>
      </c>
      <c r="P887" s="100">
        <v>66</v>
      </c>
      <c r="Q887" s="100">
        <v>25</v>
      </c>
      <c r="S887" s="105">
        <v>44497</v>
      </c>
      <c r="T887" s="106">
        <f t="shared" si="13"/>
        <v>0.364999999999998</v>
      </c>
    </row>
    <row r="888" spans="3:20">
      <c r="C888" s="105">
        <v>44496</v>
      </c>
      <c r="D888" s="106">
        <v>20.81</v>
      </c>
      <c r="E888" s="100">
        <v>19.795</v>
      </c>
      <c r="F888" s="100">
        <v>5</v>
      </c>
      <c r="G888" s="100">
        <v>-19</v>
      </c>
      <c r="H888" s="100">
        <v>1</v>
      </c>
      <c r="I888" s="100">
        <v>-39</v>
      </c>
      <c r="K888" s="105">
        <v>44496</v>
      </c>
      <c r="L888" s="100">
        <v>24.339</v>
      </c>
      <c r="M888" s="106">
        <v>20.444</v>
      </c>
      <c r="N888" s="100">
        <v>19</v>
      </c>
      <c r="O888" s="100">
        <v>45</v>
      </c>
      <c r="P888" s="100">
        <v>66</v>
      </c>
      <c r="Q888" s="100">
        <v>25</v>
      </c>
      <c r="S888" s="105">
        <v>44496</v>
      </c>
      <c r="T888" s="106">
        <f t="shared" si="13"/>
        <v>0.366</v>
      </c>
    </row>
    <row r="889" spans="3:20">
      <c r="C889" s="105">
        <v>44495</v>
      </c>
      <c r="D889" s="106">
        <v>20.83</v>
      </c>
      <c r="E889" s="100">
        <v>19.969</v>
      </c>
      <c r="F889" s="100">
        <v>4</v>
      </c>
      <c r="G889" s="100">
        <v>-19</v>
      </c>
      <c r="H889" s="100">
        <v>1</v>
      </c>
      <c r="I889" s="100">
        <v>-39</v>
      </c>
      <c r="K889" s="105">
        <v>44495</v>
      </c>
      <c r="L889" s="100">
        <v>24.666</v>
      </c>
      <c r="M889" s="106">
        <v>20.64</v>
      </c>
      <c r="N889" s="100">
        <v>20</v>
      </c>
      <c r="O889" s="100">
        <v>45</v>
      </c>
      <c r="P889" s="100">
        <v>66</v>
      </c>
      <c r="Q889" s="100">
        <v>25</v>
      </c>
      <c r="S889" s="105">
        <v>44495</v>
      </c>
      <c r="T889" s="106">
        <f t="shared" si="13"/>
        <v>0.189999999999998</v>
      </c>
    </row>
    <row r="890" spans="3:20">
      <c r="C890" s="105">
        <v>44494</v>
      </c>
      <c r="D890" s="106">
        <v>20.371</v>
      </c>
      <c r="E890" s="100">
        <v>19.698</v>
      </c>
      <c r="F890" s="100">
        <v>3</v>
      </c>
      <c r="G890" s="100">
        <v>-19</v>
      </c>
      <c r="H890" s="100">
        <v>1</v>
      </c>
      <c r="I890" s="100">
        <v>-39</v>
      </c>
      <c r="K890" s="105">
        <v>44494</v>
      </c>
      <c r="L890" s="100">
        <v>24.648</v>
      </c>
      <c r="M890" s="106">
        <v>20.405</v>
      </c>
      <c r="N890" s="100">
        <v>21</v>
      </c>
      <c r="O890" s="100">
        <v>45</v>
      </c>
      <c r="P890" s="100">
        <v>66</v>
      </c>
      <c r="Q890" s="100">
        <v>25</v>
      </c>
      <c r="S890" s="105">
        <v>44494</v>
      </c>
      <c r="T890" s="106">
        <f t="shared" si="13"/>
        <v>-0.0340000000000025</v>
      </c>
    </row>
    <row r="891" spans="3:20">
      <c r="C891" s="105">
        <v>44491</v>
      </c>
      <c r="D891" s="106">
        <v>20.278</v>
      </c>
      <c r="E891" s="100">
        <v>19.597</v>
      </c>
      <c r="F891" s="100">
        <v>3</v>
      </c>
      <c r="G891" s="100">
        <v>-19</v>
      </c>
      <c r="H891" s="100">
        <v>1</v>
      </c>
      <c r="I891" s="100">
        <v>-39</v>
      </c>
      <c r="K891" s="105">
        <v>44491</v>
      </c>
      <c r="L891" s="100">
        <v>25.309</v>
      </c>
      <c r="M891" s="106">
        <v>20.413</v>
      </c>
      <c r="N891" s="100">
        <v>24</v>
      </c>
      <c r="O891" s="100">
        <v>45</v>
      </c>
      <c r="P891" s="100">
        <v>66</v>
      </c>
      <c r="Q891" s="100">
        <v>25</v>
      </c>
      <c r="S891" s="105">
        <v>44491</v>
      </c>
      <c r="T891" s="106">
        <f t="shared" si="13"/>
        <v>-0.135000000000002</v>
      </c>
    </row>
    <row r="892" spans="3:20">
      <c r="C892" s="105">
        <v>44490</v>
      </c>
      <c r="D892" s="106">
        <v>19.911</v>
      </c>
      <c r="E892" s="100">
        <v>19.664</v>
      </c>
      <c r="F892" s="100">
        <v>1</v>
      </c>
      <c r="G892" s="100">
        <v>-19</v>
      </c>
      <c r="H892" s="100">
        <v>1</v>
      </c>
      <c r="I892" s="100">
        <v>-39</v>
      </c>
      <c r="K892" s="105">
        <v>44490</v>
      </c>
      <c r="L892" s="100">
        <v>26.651</v>
      </c>
      <c r="M892" s="106">
        <v>20.662</v>
      </c>
      <c r="N892" s="100">
        <v>29</v>
      </c>
      <c r="O892" s="100">
        <v>45</v>
      </c>
      <c r="P892" s="100">
        <v>66</v>
      </c>
      <c r="Q892" s="100">
        <v>25</v>
      </c>
      <c r="S892" s="105">
        <v>44490</v>
      </c>
      <c r="T892" s="106">
        <f t="shared" si="13"/>
        <v>-0.750999999999998</v>
      </c>
    </row>
    <row r="893" spans="3:20">
      <c r="C893" s="105">
        <v>44489</v>
      </c>
      <c r="D893" s="106">
        <v>20.412</v>
      </c>
      <c r="E893" s="100">
        <v>19.743</v>
      </c>
      <c r="F893" s="100">
        <v>3</v>
      </c>
      <c r="G893" s="100">
        <v>-19</v>
      </c>
      <c r="H893" s="100">
        <v>1</v>
      </c>
      <c r="I893" s="100">
        <v>-39</v>
      </c>
      <c r="K893" s="105">
        <v>44489</v>
      </c>
      <c r="L893" s="100">
        <v>26.235</v>
      </c>
      <c r="M893" s="106">
        <v>20.67</v>
      </c>
      <c r="N893" s="100">
        <v>27</v>
      </c>
      <c r="O893" s="100">
        <v>45</v>
      </c>
      <c r="P893" s="100">
        <v>66</v>
      </c>
      <c r="Q893" s="100">
        <v>25</v>
      </c>
      <c r="S893" s="105">
        <v>44489</v>
      </c>
      <c r="T893" s="106">
        <f t="shared" si="13"/>
        <v>-0.258000000000003</v>
      </c>
    </row>
    <row r="894" spans="3:20">
      <c r="C894" s="105">
        <v>44488</v>
      </c>
      <c r="D894" s="106">
        <v>20.718</v>
      </c>
      <c r="E894" s="100">
        <v>20.031</v>
      </c>
      <c r="F894" s="100">
        <v>3</v>
      </c>
      <c r="G894" s="100">
        <v>-19</v>
      </c>
      <c r="H894" s="100">
        <v>1</v>
      </c>
      <c r="I894" s="100">
        <v>-39</v>
      </c>
      <c r="K894" s="105">
        <v>44488</v>
      </c>
      <c r="L894" s="100">
        <v>26.603</v>
      </c>
      <c r="M894" s="106">
        <v>20.97</v>
      </c>
      <c r="N894" s="100">
        <v>27</v>
      </c>
      <c r="O894" s="100">
        <v>45</v>
      </c>
      <c r="P894" s="100">
        <v>66</v>
      </c>
      <c r="Q894" s="100">
        <v>25</v>
      </c>
      <c r="S894" s="105">
        <v>44488</v>
      </c>
      <c r="T894" s="106">
        <f t="shared" si="13"/>
        <v>-0.251999999999999</v>
      </c>
    </row>
    <row r="895" spans="3:20">
      <c r="C895" s="105">
        <v>44487</v>
      </c>
      <c r="D895" s="106">
        <v>20.346</v>
      </c>
      <c r="E895" s="100">
        <v>19.82</v>
      </c>
      <c r="F895" s="100">
        <v>3</v>
      </c>
      <c r="G895" s="100">
        <v>-19</v>
      </c>
      <c r="H895" s="100">
        <v>1</v>
      </c>
      <c r="I895" s="100">
        <v>-39</v>
      </c>
      <c r="K895" s="105">
        <v>44487</v>
      </c>
      <c r="L895" s="100">
        <v>26.153</v>
      </c>
      <c r="M895" s="106">
        <v>20.725</v>
      </c>
      <c r="N895" s="100">
        <v>26</v>
      </c>
      <c r="O895" s="100">
        <v>45</v>
      </c>
      <c r="P895" s="100">
        <v>66</v>
      </c>
      <c r="Q895" s="100">
        <v>25</v>
      </c>
      <c r="S895" s="105">
        <v>44487</v>
      </c>
      <c r="T895" s="106">
        <f t="shared" si="13"/>
        <v>-0.379000000000001</v>
      </c>
    </row>
    <row r="896" spans="3:20">
      <c r="C896" s="105">
        <v>44484</v>
      </c>
      <c r="D896" s="106">
        <v>20.528</v>
      </c>
      <c r="E896" s="100">
        <v>19.935</v>
      </c>
      <c r="F896" s="100">
        <v>3</v>
      </c>
      <c r="G896" s="100">
        <v>-19</v>
      </c>
      <c r="H896" s="100">
        <v>1</v>
      </c>
      <c r="I896" s="100">
        <v>-39</v>
      </c>
      <c r="K896" s="105">
        <v>44484</v>
      </c>
      <c r="L896" s="100">
        <v>26.121</v>
      </c>
      <c r="M896" s="106">
        <v>20.819</v>
      </c>
      <c r="N896" s="100">
        <v>25</v>
      </c>
      <c r="O896" s="100">
        <v>45</v>
      </c>
      <c r="P896" s="100">
        <v>66</v>
      </c>
      <c r="Q896" s="100">
        <v>25</v>
      </c>
      <c r="S896" s="105">
        <v>44484</v>
      </c>
      <c r="T896" s="106">
        <f t="shared" si="13"/>
        <v>-0.291</v>
      </c>
    </row>
    <row r="897" spans="3:20">
      <c r="C897" s="105">
        <v>44483</v>
      </c>
      <c r="D897" s="106">
        <v>20.448</v>
      </c>
      <c r="E897" s="100">
        <v>19.902</v>
      </c>
      <c r="F897" s="100">
        <v>3</v>
      </c>
      <c r="G897" s="100">
        <v>-19</v>
      </c>
      <c r="H897" s="100">
        <v>1</v>
      </c>
      <c r="I897" s="100">
        <v>-39</v>
      </c>
      <c r="K897" s="105">
        <v>44483</v>
      </c>
      <c r="L897" s="100">
        <v>25.878</v>
      </c>
      <c r="M897" s="106">
        <v>20.756</v>
      </c>
      <c r="N897" s="100">
        <v>25</v>
      </c>
      <c r="O897" s="100">
        <v>45</v>
      </c>
      <c r="P897" s="100">
        <v>66</v>
      </c>
      <c r="Q897" s="100">
        <v>25</v>
      </c>
      <c r="S897" s="105">
        <v>44483</v>
      </c>
      <c r="T897" s="106">
        <f t="shared" si="13"/>
        <v>-0.308</v>
      </c>
    </row>
    <row r="898" spans="3:20">
      <c r="C898" s="105">
        <v>44482</v>
      </c>
      <c r="D898" s="106">
        <v>20.037</v>
      </c>
      <c r="E898" s="100">
        <v>19.722</v>
      </c>
      <c r="F898" s="100">
        <v>2</v>
      </c>
      <c r="G898" s="100">
        <v>-19</v>
      </c>
      <c r="H898" s="100">
        <v>1</v>
      </c>
      <c r="I898" s="100">
        <v>-39</v>
      </c>
      <c r="K898" s="105">
        <v>44482</v>
      </c>
      <c r="L898" s="100">
        <v>26.233</v>
      </c>
      <c r="M898" s="106">
        <v>20.652</v>
      </c>
      <c r="N898" s="100">
        <v>27</v>
      </c>
      <c r="O898" s="100">
        <v>45</v>
      </c>
      <c r="P898" s="100">
        <v>66</v>
      </c>
      <c r="Q898" s="100">
        <v>25</v>
      </c>
      <c r="S898" s="105">
        <v>44482</v>
      </c>
      <c r="T898" s="106">
        <f t="shared" si="13"/>
        <v>-0.615000000000002</v>
      </c>
    </row>
    <row r="899" spans="3:20">
      <c r="C899" s="105">
        <v>44481</v>
      </c>
      <c r="D899" s="106">
        <v>19.945</v>
      </c>
      <c r="E899" s="100">
        <v>19.572</v>
      </c>
      <c r="F899" s="100">
        <v>2</v>
      </c>
      <c r="G899" s="100">
        <v>-19</v>
      </c>
      <c r="H899" s="100">
        <v>1</v>
      </c>
      <c r="I899" s="100">
        <v>-39</v>
      </c>
      <c r="K899" s="105">
        <v>44481</v>
      </c>
      <c r="L899" s="100">
        <v>25.682</v>
      </c>
      <c r="M899" s="106">
        <v>20.445</v>
      </c>
      <c r="N899" s="100">
        <v>26</v>
      </c>
      <c r="O899" s="100">
        <v>45</v>
      </c>
      <c r="P899" s="100">
        <v>66</v>
      </c>
      <c r="Q899" s="100">
        <v>25</v>
      </c>
      <c r="S899" s="105">
        <v>44481</v>
      </c>
      <c r="T899" s="106">
        <f t="shared" si="13"/>
        <v>-0.5</v>
      </c>
    </row>
    <row r="900" spans="3:20">
      <c r="C900" s="105">
        <v>44480</v>
      </c>
      <c r="D900" s="106">
        <v>19.891</v>
      </c>
      <c r="E900" s="100">
        <v>19.668</v>
      </c>
      <c r="F900" s="100">
        <v>1</v>
      </c>
      <c r="G900" s="100">
        <v>-19</v>
      </c>
      <c r="H900" s="100">
        <v>1</v>
      </c>
      <c r="I900" s="100">
        <v>-39</v>
      </c>
      <c r="K900" s="105">
        <v>44480</v>
      </c>
      <c r="L900" s="100">
        <v>25.246</v>
      </c>
      <c r="M900" s="106">
        <v>20.465</v>
      </c>
      <c r="N900" s="100">
        <v>23</v>
      </c>
      <c r="O900" s="100">
        <v>45</v>
      </c>
      <c r="P900" s="100">
        <v>66</v>
      </c>
      <c r="Q900" s="100">
        <v>25</v>
      </c>
      <c r="S900" s="105">
        <v>44480</v>
      </c>
      <c r="T900" s="106">
        <f t="shared" si="13"/>
        <v>-0.574000000000002</v>
      </c>
    </row>
    <row r="901" spans="3:20">
      <c r="C901" s="105">
        <v>44477</v>
      </c>
      <c r="D901" s="106">
        <v>20.198</v>
      </c>
      <c r="E901" s="100">
        <v>19.869</v>
      </c>
      <c r="F901" s="100">
        <v>2</v>
      </c>
      <c r="G901" s="100">
        <v>-19</v>
      </c>
      <c r="H901" s="100">
        <v>1</v>
      </c>
      <c r="I901" s="100">
        <v>-39</v>
      </c>
      <c r="K901" s="105">
        <v>44477</v>
      </c>
      <c r="L901" s="100">
        <v>25.347</v>
      </c>
      <c r="M901" s="106">
        <v>20.652</v>
      </c>
      <c r="N901" s="100">
        <v>23</v>
      </c>
      <c r="O901" s="100">
        <v>45</v>
      </c>
      <c r="P901" s="100">
        <v>66</v>
      </c>
      <c r="Q901" s="100">
        <v>25</v>
      </c>
      <c r="S901" s="105">
        <v>44477</v>
      </c>
      <c r="T901" s="106">
        <f t="shared" si="13"/>
        <v>-0.454000000000001</v>
      </c>
    </row>
    <row r="902" spans="3:20">
      <c r="C902" s="105">
        <v>44476</v>
      </c>
      <c r="D902" s="106">
        <v>20.259</v>
      </c>
      <c r="E902" s="100">
        <v>19.995</v>
      </c>
      <c r="F902" s="100">
        <v>1</v>
      </c>
      <c r="G902" s="100">
        <v>-19</v>
      </c>
      <c r="H902" s="100">
        <v>1</v>
      </c>
      <c r="I902" s="100">
        <v>-39</v>
      </c>
      <c r="K902" s="105">
        <v>44476</v>
      </c>
      <c r="L902" s="100">
        <v>25.196</v>
      </c>
      <c r="M902" s="106">
        <v>20.738</v>
      </c>
      <c r="N902" s="100">
        <v>21</v>
      </c>
      <c r="O902" s="100">
        <v>45</v>
      </c>
      <c r="P902" s="100">
        <v>66</v>
      </c>
      <c r="Q902" s="100">
        <v>25</v>
      </c>
      <c r="S902" s="105">
        <v>44476</v>
      </c>
      <c r="T902" s="106">
        <f t="shared" si="13"/>
        <v>-0.478999999999999</v>
      </c>
    </row>
    <row r="903" spans="3:20">
      <c r="C903" s="105">
        <v>44475</v>
      </c>
      <c r="D903" s="106">
        <v>19.875</v>
      </c>
      <c r="E903" s="100">
        <v>19.694</v>
      </c>
      <c r="F903" s="100">
        <v>1</v>
      </c>
      <c r="G903" s="100">
        <v>-19</v>
      </c>
      <c r="H903" s="100">
        <v>1</v>
      </c>
      <c r="I903" s="100">
        <v>-39</v>
      </c>
      <c r="K903" s="105">
        <v>44475</v>
      </c>
      <c r="L903" s="100">
        <v>24.691</v>
      </c>
      <c r="M903" s="106">
        <v>20.408</v>
      </c>
      <c r="N903" s="100">
        <v>21</v>
      </c>
      <c r="O903" s="100">
        <v>45</v>
      </c>
      <c r="P903" s="100">
        <v>66</v>
      </c>
      <c r="Q903" s="100">
        <v>25</v>
      </c>
      <c r="S903" s="105">
        <v>44475</v>
      </c>
      <c r="T903" s="106">
        <f t="shared" si="13"/>
        <v>-0.533000000000001</v>
      </c>
    </row>
    <row r="904" spans="3:20">
      <c r="C904" s="105">
        <v>44474</v>
      </c>
      <c r="D904" s="106">
        <v>20.743</v>
      </c>
      <c r="E904" s="100">
        <v>20.417</v>
      </c>
      <c r="F904" s="100">
        <v>2</v>
      </c>
      <c r="G904" s="100">
        <v>-19</v>
      </c>
      <c r="H904" s="100">
        <v>1</v>
      </c>
      <c r="I904" s="100">
        <v>-39</v>
      </c>
      <c r="K904" s="105">
        <v>44474</v>
      </c>
      <c r="L904" s="100">
        <v>24.775</v>
      </c>
      <c r="M904" s="106">
        <v>21.039</v>
      </c>
      <c r="N904" s="100">
        <v>18</v>
      </c>
      <c r="O904" s="100">
        <v>45</v>
      </c>
      <c r="P904" s="100">
        <v>66</v>
      </c>
      <c r="Q904" s="100">
        <v>25</v>
      </c>
      <c r="S904" s="105">
        <v>44474</v>
      </c>
      <c r="T904" s="106">
        <f t="shared" si="13"/>
        <v>-0.296000000000003</v>
      </c>
    </row>
    <row r="905" spans="3:20">
      <c r="C905" s="105">
        <v>44473</v>
      </c>
      <c r="D905" s="106">
        <v>20.078</v>
      </c>
      <c r="E905" s="100">
        <v>20.259</v>
      </c>
      <c r="F905" s="100">
        <v>-1</v>
      </c>
      <c r="G905" s="100">
        <v>-19</v>
      </c>
      <c r="H905" s="100">
        <v>1</v>
      </c>
      <c r="I905" s="100">
        <v>-39</v>
      </c>
      <c r="K905" s="105">
        <v>44473</v>
      </c>
      <c r="L905" s="100">
        <v>24.555</v>
      </c>
      <c r="M905" s="106">
        <v>20.873</v>
      </c>
      <c r="N905" s="100">
        <v>18</v>
      </c>
      <c r="O905" s="100">
        <v>45</v>
      </c>
      <c r="P905" s="100">
        <v>66</v>
      </c>
      <c r="Q905" s="100">
        <v>25</v>
      </c>
      <c r="S905" s="105">
        <v>44473</v>
      </c>
      <c r="T905" s="106">
        <f t="shared" si="13"/>
        <v>-0.795000000000002</v>
      </c>
    </row>
    <row r="906" spans="3:20">
      <c r="C906" s="105">
        <v>44470</v>
      </c>
      <c r="D906" s="106">
        <v>20.224</v>
      </c>
      <c r="E906" s="100">
        <v>20.651</v>
      </c>
      <c r="F906" s="100">
        <v>-2</v>
      </c>
      <c r="G906" s="100">
        <v>-19</v>
      </c>
      <c r="H906" s="100">
        <v>1</v>
      </c>
      <c r="I906" s="100">
        <v>-39</v>
      </c>
      <c r="K906" s="105">
        <v>44470</v>
      </c>
      <c r="L906" s="100">
        <v>24.689</v>
      </c>
      <c r="M906" s="106">
        <v>21.228</v>
      </c>
      <c r="N906" s="100">
        <v>16</v>
      </c>
      <c r="O906" s="100">
        <v>45</v>
      </c>
      <c r="P906" s="100">
        <v>66</v>
      </c>
      <c r="Q906" s="100">
        <v>25</v>
      </c>
      <c r="S906" s="105">
        <v>44470</v>
      </c>
      <c r="T906" s="106">
        <f t="shared" si="13"/>
        <v>-1.004</v>
      </c>
    </row>
    <row r="907" spans="3:20">
      <c r="C907" s="105">
        <v>44469</v>
      </c>
      <c r="D907" s="106">
        <v>20.359</v>
      </c>
      <c r="E907" s="100">
        <v>20.623</v>
      </c>
      <c r="F907" s="100">
        <v>-1</v>
      </c>
      <c r="G907" s="100">
        <v>-19</v>
      </c>
      <c r="H907" s="100">
        <v>1</v>
      </c>
      <c r="I907" s="100">
        <v>-39</v>
      </c>
      <c r="K907" s="105">
        <v>44469</v>
      </c>
      <c r="L907" s="100">
        <v>24.704</v>
      </c>
      <c r="M907" s="106">
        <v>21.206</v>
      </c>
      <c r="N907" s="100">
        <v>16</v>
      </c>
      <c r="O907" s="100">
        <v>45</v>
      </c>
      <c r="P907" s="100">
        <v>66</v>
      </c>
      <c r="Q907" s="100">
        <v>25</v>
      </c>
      <c r="S907" s="105">
        <v>44469</v>
      </c>
      <c r="T907" s="106">
        <f t="shared" si="13"/>
        <v>-0.846999999999998</v>
      </c>
    </row>
    <row r="908" spans="3:20">
      <c r="C908" s="105">
        <v>44468</v>
      </c>
      <c r="D908" s="106">
        <v>20.742</v>
      </c>
      <c r="E908" s="100">
        <v>20.92</v>
      </c>
      <c r="F908" s="100">
        <v>-1</v>
      </c>
      <c r="G908" s="100">
        <v>-19</v>
      </c>
      <c r="H908" s="100">
        <v>1</v>
      </c>
      <c r="I908" s="100">
        <v>-39</v>
      </c>
      <c r="K908" s="105">
        <v>44468</v>
      </c>
      <c r="L908" s="100">
        <v>24.569</v>
      </c>
      <c r="M908" s="106">
        <v>21.441</v>
      </c>
      <c r="N908" s="100">
        <v>15</v>
      </c>
      <c r="O908" s="100">
        <v>45</v>
      </c>
      <c r="P908" s="100">
        <v>66</v>
      </c>
      <c r="Q908" s="100">
        <v>25</v>
      </c>
      <c r="S908" s="105">
        <v>44468</v>
      </c>
      <c r="T908" s="106">
        <f t="shared" si="13"/>
        <v>-0.698999999999998</v>
      </c>
    </row>
    <row r="909" spans="3:20">
      <c r="C909" s="105">
        <v>44467</v>
      </c>
      <c r="D909" s="106">
        <v>20.543</v>
      </c>
      <c r="E909" s="100">
        <v>20.689</v>
      </c>
      <c r="F909" s="100">
        <v>-1</v>
      </c>
      <c r="G909" s="100">
        <v>-19</v>
      </c>
      <c r="H909" s="100">
        <v>1</v>
      </c>
      <c r="I909" s="100">
        <v>-39</v>
      </c>
      <c r="K909" s="105">
        <v>44467</v>
      </c>
      <c r="L909" s="100">
        <v>24.401</v>
      </c>
      <c r="M909" s="106">
        <v>21.219</v>
      </c>
      <c r="N909" s="100">
        <v>15</v>
      </c>
      <c r="O909" s="100">
        <v>45</v>
      </c>
      <c r="P909" s="100">
        <v>66</v>
      </c>
      <c r="Q909" s="100">
        <v>25</v>
      </c>
      <c r="S909" s="105">
        <v>44467</v>
      </c>
      <c r="T909" s="106">
        <f t="shared" si="13"/>
        <v>-0.676000000000002</v>
      </c>
    </row>
    <row r="910" spans="3:20">
      <c r="C910" s="105">
        <v>44466</v>
      </c>
      <c r="D910" s="106">
        <v>21.058</v>
      </c>
      <c r="E910" s="100">
        <v>20.988</v>
      </c>
      <c r="F910" s="100">
        <v>0</v>
      </c>
      <c r="G910" s="100">
        <v>-19</v>
      </c>
      <c r="H910" s="100">
        <v>1</v>
      </c>
      <c r="I910" s="100">
        <v>-39</v>
      </c>
      <c r="K910" s="105">
        <v>44466</v>
      </c>
      <c r="L910" s="100">
        <v>25.083</v>
      </c>
      <c r="M910" s="106">
        <v>21.573</v>
      </c>
      <c r="N910" s="100">
        <v>16</v>
      </c>
      <c r="O910" s="100">
        <v>45</v>
      </c>
      <c r="P910" s="100">
        <v>66</v>
      </c>
      <c r="Q910" s="100">
        <v>25</v>
      </c>
      <c r="S910" s="105">
        <v>44466</v>
      </c>
      <c r="T910" s="106">
        <f t="shared" si="13"/>
        <v>-0.515000000000001</v>
      </c>
    </row>
    <row r="911" spans="3:20">
      <c r="C911" s="105">
        <v>44463</v>
      </c>
      <c r="D911" s="106">
        <v>21.546</v>
      </c>
      <c r="E911" s="100">
        <v>21.046</v>
      </c>
      <c r="F911" s="100">
        <v>2</v>
      </c>
      <c r="G911" s="100">
        <v>-19</v>
      </c>
      <c r="H911" s="100">
        <v>1</v>
      </c>
      <c r="I911" s="100">
        <v>-39</v>
      </c>
      <c r="K911" s="105">
        <v>44463</v>
      </c>
      <c r="L911" s="100">
        <v>26.002</v>
      </c>
      <c r="M911" s="106">
        <v>21.754</v>
      </c>
      <c r="N911" s="100">
        <v>20</v>
      </c>
      <c r="O911" s="100">
        <v>45</v>
      </c>
      <c r="P911" s="100">
        <v>66</v>
      </c>
      <c r="Q911" s="100">
        <v>25</v>
      </c>
      <c r="S911" s="105">
        <v>44463</v>
      </c>
      <c r="T911" s="106">
        <f t="shared" si="13"/>
        <v>-0.208000000000002</v>
      </c>
    </row>
    <row r="912" spans="3:20">
      <c r="C912" s="105">
        <v>44462</v>
      </c>
      <c r="D912" s="106">
        <v>22.098</v>
      </c>
      <c r="E912" s="100">
        <v>21.247</v>
      </c>
      <c r="F912" s="100">
        <v>4</v>
      </c>
      <c r="G912" s="100">
        <v>-19</v>
      </c>
      <c r="H912" s="100">
        <v>1</v>
      </c>
      <c r="I912" s="100">
        <v>-39</v>
      </c>
      <c r="K912" s="105">
        <v>44462</v>
      </c>
      <c r="L912" s="100">
        <v>26.329</v>
      </c>
      <c r="M912" s="106">
        <v>21.973</v>
      </c>
      <c r="N912" s="100">
        <v>20</v>
      </c>
      <c r="O912" s="100">
        <v>45</v>
      </c>
      <c r="P912" s="100">
        <v>66</v>
      </c>
      <c r="Q912" s="100">
        <v>25</v>
      </c>
      <c r="S912" s="105">
        <v>44462</v>
      </c>
      <c r="T912" s="106">
        <f t="shared" si="13"/>
        <v>0.125</v>
      </c>
    </row>
    <row r="913" spans="3:20">
      <c r="C913" s="105">
        <v>44461</v>
      </c>
      <c r="D913" s="106">
        <v>22.017</v>
      </c>
      <c r="E913" s="100">
        <v>21.203</v>
      </c>
      <c r="F913" s="100">
        <v>4</v>
      </c>
      <c r="G913" s="100">
        <v>-19</v>
      </c>
      <c r="H913" s="100">
        <v>1</v>
      </c>
      <c r="I913" s="100">
        <v>-39</v>
      </c>
      <c r="K913" s="105">
        <v>44461</v>
      </c>
      <c r="L913" s="100">
        <v>26.413</v>
      </c>
      <c r="M913" s="106">
        <v>21.947</v>
      </c>
      <c r="N913" s="100">
        <v>20</v>
      </c>
      <c r="O913" s="100">
        <v>45</v>
      </c>
      <c r="P913" s="100">
        <v>66</v>
      </c>
      <c r="Q913" s="100">
        <v>25</v>
      </c>
      <c r="S913" s="105">
        <v>44461</v>
      </c>
      <c r="T913" s="106">
        <f t="shared" si="13"/>
        <v>0.0700000000000003</v>
      </c>
    </row>
    <row r="914" spans="3:20">
      <c r="C914" s="105">
        <v>44460</v>
      </c>
      <c r="D914" s="106">
        <v>21.739</v>
      </c>
      <c r="E914" s="100">
        <v>20.788</v>
      </c>
      <c r="F914" s="100">
        <v>5</v>
      </c>
      <c r="G914" s="100">
        <v>-19</v>
      </c>
      <c r="H914" s="100">
        <v>1</v>
      </c>
      <c r="I914" s="100">
        <v>-39</v>
      </c>
      <c r="K914" s="105">
        <v>44460</v>
      </c>
      <c r="L914" s="100">
        <v>26.505</v>
      </c>
      <c r="M914" s="106">
        <v>21.605</v>
      </c>
      <c r="N914" s="100">
        <v>23</v>
      </c>
      <c r="O914" s="100">
        <v>45</v>
      </c>
      <c r="P914" s="100">
        <v>66</v>
      </c>
      <c r="Q914" s="100">
        <v>25</v>
      </c>
      <c r="S914" s="105">
        <v>44460</v>
      </c>
      <c r="T914" s="106">
        <f t="shared" si="13"/>
        <v>0.134</v>
      </c>
    </row>
    <row r="915" spans="3:20">
      <c r="C915" s="105">
        <v>44459</v>
      </c>
      <c r="D915" s="106">
        <v>21.677</v>
      </c>
      <c r="E915" s="100">
        <v>20.592</v>
      </c>
      <c r="F915" s="100">
        <v>5</v>
      </c>
      <c r="G915" s="100">
        <v>-19</v>
      </c>
      <c r="H915" s="100">
        <v>1</v>
      </c>
      <c r="I915" s="100">
        <v>-39</v>
      </c>
      <c r="K915" s="105">
        <v>44459</v>
      </c>
      <c r="L915" s="100">
        <v>26.07</v>
      </c>
      <c r="M915" s="106">
        <v>21.374</v>
      </c>
      <c r="N915" s="100">
        <v>22</v>
      </c>
      <c r="O915" s="100">
        <v>45</v>
      </c>
      <c r="P915" s="100">
        <v>66</v>
      </c>
      <c r="Q915" s="100">
        <v>25</v>
      </c>
      <c r="S915" s="105">
        <v>44459</v>
      </c>
      <c r="T915" s="106">
        <f t="shared" si="13"/>
        <v>0.303000000000001</v>
      </c>
    </row>
    <row r="916" spans="3:20">
      <c r="C916" s="105">
        <v>44456</v>
      </c>
      <c r="D916" s="106">
        <v>22.828</v>
      </c>
      <c r="E916" s="100">
        <v>21.57</v>
      </c>
      <c r="F916" s="100">
        <v>6</v>
      </c>
      <c r="G916" s="100">
        <v>-19</v>
      </c>
      <c r="H916" s="100">
        <v>1</v>
      </c>
      <c r="I916" s="100">
        <v>-39</v>
      </c>
      <c r="K916" s="105">
        <v>44456</v>
      </c>
      <c r="L916" s="100">
        <v>26.65</v>
      </c>
      <c r="M916" s="106">
        <v>22.296</v>
      </c>
      <c r="N916" s="100">
        <v>20</v>
      </c>
      <c r="O916" s="100">
        <v>45</v>
      </c>
      <c r="P916" s="100">
        <v>66</v>
      </c>
      <c r="Q916" s="100">
        <v>25</v>
      </c>
      <c r="S916" s="105">
        <v>44456</v>
      </c>
      <c r="T916" s="106">
        <f t="shared" si="13"/>
        <v>0.532</v>
      </c>
    </row>
    <row r="917" spans="3:20">
      <c r="C917" s="105">
        <v>44455</v>
      </c>
      <c r="D917" s="106">
        <v>23.064</v>
      </c>
      <c r="E917" s="100">
        <v>21.5</v>
      </c>
      <c r="F917" s="100">
        <v>7</v>
      </c>
      <c r="G917" s="100">
        <v>-19</v>
      </c>
      <c r="H917" s="100">
        <v>1</v>
      </c>
      <c r="I917" s="100">
        <v>-39</v>
      </c>
      <c r="K917" s="105">
        <v>44455</v>
      </c>
      <c r="L917" s="100">
        <v>27.09</v>
      </c>
      <c r="M917" s="106">
        <v>22.298</v>
      </c>
      <c r="N917" s="100">
        <v>21</v>
      </c>
      <c r="O917" s="100">
        <v>45</v>
      </c>
      <c r="P917" s="100">
        <v>66</v>
      </c>
      <c r="Q917" s="100">
        <v>25</v>
      </c>
      <c r="S917" s="105">
        <v>44455</v>
      </c>
      <c r="T917" s="106">
        <f t="shared" si="13"/>
        <v>0.766000000000002</v>
      </c>
    </row>
    <row r="918" spans="3:20">
      <c r="C918" s="105">
        <v>44454</v>
      </c>
      <c r="D918" s="106">
        <v>23.061</v>
      </c>
      <c r="E918" s="100">
        <v>21.224</v>
      </c>
      <c r="F918" s="100">
        <v>9</v>
      </c>
      <c r="G918" s="100">
        <v>-19</v>
      </c>
      <c r="H918" s="100">
        <v>1</v>
      </c>
      <c r="I918" s="100">
        <v>-39</v>
      </c>
      <c r="K918" s="105">
        <v>44454</v>
      </c>
      <c r="L918" s="100">
        <v>26.652</v>
      </c>
      <c r="M918" s="106">
        <v>21.999</v>
      </c>
      <c r="N918" s="100">
        <v>21</v>
      </c>
      <c r="O918" s="100">
        <v>45</v>
      </c>
      <c r="P918" s="100">
        <v>66</v>
      </c>
      <c r="Q918" s="100">
        <v>25</v>
      </c>
      <c r="S918" s="105">
        <v>44454</v>
      </c>
      <c r="T918" s="106">
        <f t="shared" ref="T918:T981" si="14">D918-M918</f>
        <v>1.062</v>
      </c>
    </row>
    <row r="919" spans="3:20">
      <c r="C919" s="105">
        <v>44453</v>
      </c>
      <c r="D919" s="106">
        <v>23.498</v>
      </c>
      <c r="E919" s="100">
        <v>21.767</v>
      </c>
      <c r="F919" s="100">
        <v>8</v>
      </c>
      <c r="G919" s="100">
        <v>-19</v>
      </c>
      <c r="H919" s="100">
        <v>1</v>
      </c>
      <c r="I919" s="100">
        <v>-39</v>
      </c>
      <c r="K919" s="105">
        <v>44453</v>
      </c>
      <c r="L919" s="100">
        <v>26.891</v>
      </c>
      <c r="M919" s="106">
        <v>22.499</v>
      </c>
      <c r="N919" s="100">
        <v>20</v>
      </c>
      <c r="O919" s="100">
        <v>45</v>
      </c>
      <c r="P919" s="100">
        <v>66</v>
      </c>
      <c r="Q919" s="100">
        <v>25</v>
      </c>
      <c r="S919" s="105">
        <v>44453</v>
      </c>
      <c r="T919" s="106">
        <f t="shared" si="14"/>
        <v>0.999000000000002</v>
      </c>
    </row>
    <row r="920" spans="3:20">
      <c r="C920" s="105">
        <v>44452</v>
      </c>
      <c r="D920" s="106">
        <v>23.467</v>
      </c>
      <c r="E920" s="100">
        <v>21.622</v>
      </c>
      <c r="F920" s="100">
        <v>9</v>
      </c>
      <c r="G920" s="100">
        <v>-19</v>
      </c>
      <c r="H920" s="100">
        <v>1</v>
      </c>
      <c r="I920" s="100">
        <v>-39</v>
      </c>
      <c r="K920" s="105">
        <v>44452</v>
      </c>
      <c r="L920" s="100">
        <v>26.889</v>
      </c>
      <c r="M920" s="106">
        <v>22.374</v>
      </c>
      <c r="N920" s="100">
        <v>20</v>
      </c>
      <c r="O920" s="100">
        <v>45</v>
      </c>
      <c r="P920" s="100">
        <v>66</v>
      </c>
      <c r="Q920" s="100">
        <v>25</v>
      </c>
      <c r="S920" s="105">
        <v>44452</v>
      </c>
      <c r="T920" s="106">
        <f t="shared" si="14"/>
        <v>1.093</v>
      </c>
    </row>
    <row r="921" spans="3:20">
      <c r="C921" s="105">
        <v>44449</v>
      </c>
      <c r="D921" s="106">
        <v>23.484</v>
      </c>
      <c r="E921" s="100">
        <v>21.698</v>
      </c>
      <c r="F921" s="100">
        <v>8</v>
      </c>
      <c r="G921" s="100">
        <v>-19</v>
      </c>
      <c r="H921" s="100">
        <v>1</v>
      </c>
      <c r="I921" s="100">
        <v>-39</v>
      </c>
      <c r="K921" s="105">
        <v>44449</v>
      </c>
      <c r="L921" s="100">
        <v>27.082</v>
      </c>
      <c r="M921" s="106">
        <v>22.468</v>
      </c>
      <c r="N921" s="100">
        <v>21</v>
      </c>
      <c r="O921" s="100">
        <v>45</v>
      </c>
      <c r="P921" s="100">
        <v>66</v>
      </c>
      <c r="Q921" s="100">
        <v>25</v>
      </c>
      <c r="S921" s="105">
        <v>44449</v>
      </c>
      <c r="T921" s="106">
        <f t="shared" si="14"/>
        <v>1.016</v>
      </c>
    </row>
    <row r="922" spans="3:20">
      <c r="C922" s="105">
        <v>44448</v>
      </c>
      <c r="D922" s="106">
        <v>23.144</v>
      </c>
      <c r="E922" s="100">
        <v>21.592</v>
      </c>
      <c r="F922" s="100">
        <v>7</v>
      </c>
      <c r="G922" s="100">
        <v>-19</v>
      </c>
      <c r="H922" s="100">
        <v>1</v>
      </c>
      <c r="I922" s="100">
        <v>-39</v>
      </c>
      <c r="K922" s="105">
        <v>44448</v>
      </c>
      <c r="L922" s="100">
        <v>26.976</v>
      </c>
      <c r="M922" s="106">
        <v>22.361</v>
      </c>
      <c r="N922" s="100">
        <v>21</v>
      </c>
      <c r="O922" s="100">
        <v>45</v>
      </c>
      <c r="P922" s="100">
        <v>66</v>
      </c>
      <c r="Q922" s="100">
        <v>25</v>
      </c>
      <c r="S922" s="105">
        <v>44448</v>
      </c>
      <c r="T922" s="106">
        <f t="shared" si="14"/>
        <v>0.782999999999998</v>
      </c>
    </row>
    <row r="923" spans="3:20">
      <c r="C923" s="105">
        <v>44447</v>
      </c>
      <c r="D923" s="106">
        <v>23.134</v>
      </c>
      <c r="E923" s="100">
        <v>21.646</v>
      </c>
      <c r="F923" s="100">
        <v>7</v>
      </c>
      <c r="G923" s="100">
        <v>-19</v>
      </c>
      <c r="H923" s="100">
        <v>1</v>
      </c>
      <c r="I923" s="100">
        <v>-39</v>
      </c>
      <c r="K923" s="105">
        <v>44447</v>
      </c>
      <c r="L923" s="100">
        <v>27.354</v>
      </c>
      <c r="M923" s="106">
        <v>22.462</v>
      </c>
      <c r="N923" s="100">
        <v>22</v>
      </c>
      <c r="O923" s="100">
        <v>45</v>
      </c>
      <c r="P923" s="100">
        <v>66</v>
      </c>
      <c r="Q923" s="100">
        <v>25</v>
      </c>
      <c r="S923" s="105">
        <v>44447</v>
      </c>
      <c r="T923" s="106">
        <f t="shared" si="14"/>
        <v>0.672000000000001</v>
      </c>
    </row>
    <row r="924" spans="3:20">
      <c r="C924" s="105">
        <v>44446</v>
      </c>
      <c r="D924" s="106">
        <v>23.506</v>
      </c>
      <c r="E924" s="100">
        <v>21.833</v>
      </c>
      <c r="F924" s="100">
        <v>8</v>
      </c>
      <c r="G924" s="100">
        <v>-19</v>
      </c>
      <c r="H924" s="100">
        <v>1</v>
      </c>
      <c r="I924" s="100">
        <v>-39</v>
      </c>
      <c r="K924" s="105">
        <v>44446</v>
      </c>
      <c r="L924" s="100">
        <v>27.373</v>
      </c>
      <c r="M924" s="106">
        <v>22.625</v>
      </c>
      <c r="N924" s="100">
        <v>21</v>
      </c>
      <c r="O924" s="100">
        <v>45</v>
      </c>
      <c r="P924" s="100">
        <v>66</v>
      </c>
      <c r="Q924" s="100">
        <v>25</v>
      </c>
      <c r="S924" s="105">
        <v>44446</v>
      </c>
      <c r="T924" s="106">
        <f t="shared" si="14"/>
        <v>0.881</v>
      </c>
    </row>
    <row r="925" spans="3:20">
      <c r="C925" s="105">
        <v>44445</v>
      </c>
      <c r="D925" s="106">
        <v>23.686</v>
      </c>
      <c r="E925" s="100">
        <v>21.85</v>
      </c>
      <c r="F925" s="100">
        <v>8</v>
      </c>
      <c r="G925" s="100">
        <v>-19</v>
      </c>
      <c r="H925" s="100">
        <v>1</v>
      </c>
      <c r="I925" s="100">
        <v>-39</v>
      </c>
      <c r="K925" s="105">
        <v>44445</v>
      </c>
      <c r="L925" s="100">
        <v>27.391</v>
      </c>
      <c r="M925" s="106">
        <v>22.642</v>
      </c>
      <c r="N925" s="100">
        <v>21</v>
      </c>
      <c r="O925" s="100">
        <v>45</v>
      </c>
      <c r="P925" s="100">
        <v>66</v>
      </c>
      <c r="Q925" s="100">
        <v>25</v>
      </c>
      <c r="S925" s="105">
        <v>44445</v>
      </c>
      <c r="T925" s="106">
        <f t="shared" si="14"/>
        <v>1.044</v>
      </c>
    </row>
    <row r="926" spans="3:20">
      <c r="C926" s="105">
        <v>44442</v>
      </c>
      <c r="D926" s="106">
        <v>23.329</v>
      </c>
      <c r="E926" s="100">
        <v>21.705</v>
      </c>
      <c r="F926" s="100">
        <v>7</v>
      </c>
      <c r="G926" s="100">
        <v>-19</v>
      </c>
      <c r="H926" s="100">
        <v>1</v>
      </c>
      <c r="I926" s="100">
        <v>-39</v>
      </c>
      <c r="K926" s="105">
        <v>44442</v>
      </c>
      <c r="L926" s="100">
        <v>26.958</v>
      </c>
      <c r="M926" s="106">
        <v>22.455</v>
      </c>
      <c r="N926" s="100">
        <v>20</v>
      </c>
      <c r="O926" s="100">
        <v>45</v>
      </c>
      <c r="P926" s="100">
        <v>66</v>
      </c>
      <c r="Q926" s="100">
        <v>25</v>
      </c>
      <c r="S926" s="105">
        <v>44442</v>
      </c>
      <c r="T926" s="106">
        <f t="shared" si="14"/>
        <v>0.874000000000002</v>
      </c>
    </row>
    <row r="927" spans="3:20">
      <c r="C927" s="105">
        <v>44441</v>
      </c>
      <c r="D927" s="106">
        <v>23.193</v>
      </c>
      <c r="E927" s="100">
        <v>21.788</v>
      </c>
      <c r="F927" s="100">
        <v>6</v>
      </c>
      <c r="G927" s="100">
        <v>-19</v>
      </c>
      <c r="H927" s="100">
        <v>1</v>
      </c>
      <c r="I927" s="100">
        <v>-39</v>
      </c>
      <c r="K927" s="105">
        <v>44441</v>
      </c>
      <c r="L927" s="100">
        <v>27.05</v>
      </c>
      <c r="M927" s="106">
        <v>22.54</v>
      </c>
      <c r="N927" s="100">
        <v>20</v>
      </c>
      <c r="O927" s="100">
        <v>45</v>
      </c>
      <c r="P927" s="100">
        <v>66</v>
      </c>
      <c r="Q927" s="100">
        <v>25</v>
      </c>
      <c r="S927" s="105">
        <v>44441</v>
      </c>
      <c r="T927" s="106">
        <f t="shared" si="14"/>
        <v>0.653000000000002</v>
      </c>
    </row>
    <row r="928" spans="3:20">
      <c r="C928" s="105">
        <v>44440</v>
      </c>
      <c r="D928" s="106">
        <v>23.362</v>
      </c>
      <c r="E928" s="100">
        <v>21.926</v>
      </c>
      <c r="F928" s="100">
        <v>7</v>
      </c>
      <c r="G928" s="100">
        <v>-19</v>
      </c>
      <c r="H928" s="100">
        <v>1</v>
      </c>
      <c r="I928" s="100">
        <v>-39</v>
      </c>
      <c r="K928" s="105">
        <v>44440</v>
      </c>
      <c r="L928" s="100">
        <v>26.915</v>
      </c>
      <c r="M928" s="106">
        <v>22.639</v>
      </c>
      <c r="N928" s="100">
        <v>19</v>
      </c>
      <c r="O928" s="100">
        <v>45</v>
      </c>
      <c r="P928" s="100">
        <v>66</v>
      </c>
      <c r="Q928" s="100">
        <v>25</v>
      </c>
      <c r="S928" s="105">
        <v>44440</v>
      </c>
      <c r="T928" s="106">
        <f t="shared" si="14"/>
        <v>0.722999999999999</v>
      </c>
    </row>
    <row r="929" spans="3:20">
      <c r="C929" s="105">
        <v>44439</v>
      </c>
      <c r="D929" s="106">
        <v>22.688</v>
      </c>
      <c r="E929" s="100">
        <v>21.361</v>
      </c>
      <c r="F929" s="100">
        <v>6</v>
      </c>
      <c r="G929" s="100">
        <v>-19</v>
      </c>
      <c r="H929" s="100">
        <v>1</v>
      </c>
      <c r="I929" s="100">
        <v>-39</v>
      </c>
      <c r="K929" s="105">
        <v>44439</v>
      </c>
      <c r="L929" s="100">
        <v>26.573</v>
      </c>
      <c r="M929" s="106">
        <v>22.105</v>
      </c>
      <c r="N929" s="100">
        <v>20</v>
      </c>
      <c r="O929" s="100">
        <v>45</v>
      </c>
      <c r="P929" s="100">
        <v>66</v>
      </c>
      <c r="Q929" s="100">
        <v>25</v>
      </c>
      <c r="S929" s="105">
        <v>44439</v>
      </c>
      <c r="T929" s="106">
        <f t="shared" si="14"/>
        <v>0.582999999999998</v>
      </c>
    </row>
    <row r="930" spans="3:20">
      <c r="C930" s="105">
        <v>44435</v>
      </c>
      <c r="D930" s="106">
        <v>23.044</v>
      </c>
      <c r="E930" s="100">
        <v>21.487</v>
      </c>
      <c r="F930" s="100">
        <v>7</v>
      </c>
      <c r="G930" s="100">
        <v>-19</v>
      </c>
      <c r="H930" s="100">
        <v>1</v>
      </c>
      <c r="I930" s="100">
        <v>-39</v>
      </c>
      <c r="K930" s="105">
        <v>44435</v>
      </c>
      <c r="L930" s="100">
        <v>26.829</v>
      </c>
      <c r="M930" s="106">
        <v>22.25</v>
      </c>
      <c r="N930" s="100">
        <v>21</v>
      </c>
      <c r="O930" s="100">
        <v>45</v>
      </c>
      <c r="P930" s="100">
        <v>66</v>
      </c>
      <c r="Q930" s="100">
        <v>25</v>
      </c>
      <c r="S930" s="105">
        <v>44435</v>
      </c>
      <c r="T930" s="106">
        <f t="shared" si="14"/>
        <v>0.794</v>
      </c>
    </row>
    <row r="931" spans="3:20">
      <c r="C931" s="105">
        <v>44434</v>
      </c>
      <c r="D931" s="106">
        <v>23.051</v>
      </c>
      <c r="E931" s="100">
        <v>21.42</v>
      </c>
      <c r="F931" s="100">
        <v>8</v>
      </c>
      <c r="G931" s="100">
        <v>-19</v>
      </c>
      <c r="H931" s="100">
        <v>1</v>
      </c>
      <c r="I931" s="100">
        <v>-39</v>
      </c>
      <c r="K931" s="105">
        <v>44434</v>
      </c>
      <c r="L931" s="100">
        <v>26.683</v>
      </c>
      <c r="M931" s="106">
        <v>22.172</v>
      </c>
      <c r="N931" s="100">
        <v>20</v>
      </c>
      <c r="O931" s="100">
        <v>45</v>
      </c>
      <c r="P931" s="100">
        <v>66</v>
      </c>
      <c r="Q931" s="100">
        <v>25</v>
      </c>
      <c r="S931" s="105">
        <v>44434</v>
      </c>
      <c r="T931" s="106">
        <f t="shared" si="14"/>
        <v>0.878999999999998</v>
      </c>
    </row>
    <row r="932" spans="3:20">
      <c r="C932" s="105">
        <v>44433</v>
      </c>
      <c r="D932" s="106">
        <v>23.313</v>
      </c>
      <c r="E932" s="100">
        <v>21.618</v>
      </c>
      <c r="F932" s="100">
        <v>8</v>
      </c>
      <c r="G932" s="100">
        <v>-19</v>
      </c>
      <c r="H932" s="100">
        <v>1</v>
      </c>
      <c r="I932" s="100">
        <v>-39</v>
      </c>
      <c r="K932" s="105">
        <v>44433</v>
      </c>
      <c r="L932" s="100">
        <v>26.949</v>
      </c>
      <c r="M932" s="106">
        <v>22.379</v>
      </c>
      <c r="N932" s="100">
        <v>20</v>
      </c>
      <c r="O932" s="100">
        <v>45</v>
      </c>
      <c r="P932" s="100">
        <v>66</v>
      </c>
      <c r="Q932" s="100">
        <v>25</v>
      </c>
      <c r="S932" s="105">
        <v>44433</v>
      </c>
      <c r="T932" s="106">
        <f t="shared" si="14"/>
        <v>0.933999999999997</v>
      </c>
    </row>
    <row r="933" spans="3:20">
      <c r="C933" s="105">
        <v>44432</v>
      </c>
      <c r="D933" s="106">
        <v>22.904</v>
      </c>
      <c r="E933" s="100">
        <v>21.528</v>
      </c>
      <c r="F933" s="100">
        <v>6</v>
      </c>
      <c r="G933" s="100">
        <v>-19</v>
      </c>
      <c r="H933" s="100">
        <v>1</v>
      </c>
      <c r="I933" s="100">
        <v>-39</v>
      </c>
      <c r="K933" s="105">
        <v>44432</v>
      </c>
      <c r="L933" s="100">
        <v>27.243</v>
      </c>
      <c r="M933" s="106">
        <v>22.345</v>
      </c>
      <c r="N933" s="100">
        <v>22</v>
      </c>
      <c r="O933" s="100">
        <v>45</v>
      </c>
      <c r="P933" s="100">
        <v>66</v>
      </c>
      <c r="Q933" s="100">
        <v>25</v>
      </c>
      <c r="S933" s="105">
        <v>44432</v>
      </c>
      <c r="T933" s="106">
        <f t="shared" si="14"/>
        <v>0.559000000000001</v>
      </c>
    </row>
    <row r="934" spans="3:20">
      <c r="C934" s="105">
        <v>44431</v>
      </c>
      <c r="D934" s="106">
        <v>22.697</v>
      </c>
      <c r="E934" s="100">
        <v>21.55</v>
      </c>
      <c r="F934" s="100">
        <v>5</v>
      </c>
      <c r="G934" s="100">
        <v>-19</v>
      </c>
      <c r="H934" s="100">
        <v>1</v>
      </c>
      <c r="I934" s="100">
        <v>-39</v>
      </c>
      <c r="K934" s="105">
        <v>44431</v>
      </c>
      <c r="L934" s="100">
        <v>27.101</v>
      </c>
      <c r="M934" s="106">
        <v>22.343</v>
      </c>
      <c r="N934" s="100">
        <v>21</v>
      </c>
      <c r="O934" s="100">
        <v>45</v>
      </c>
      <c r="P934" s="100">
        <v>66</v>
      </c>
      <c r="Q934" s="100">
        <v>25</v>
      </c>
      <c r="S934" s="105">
        <v>44431</v>
      </c>
      <c r="T934" s="106">
        <f t="shared" si="14"/>
        <v>0.353999999999999</v>
      </c>
    </row>
    <row r="935" spans="3:20">
      <c r="C935" s="105">
        <v>44428</v>
      </c>
      <c r="D935" s="106">
        <v>22.746</v>
      </c>
      <c r="E935" s="100">
        <v>21.455</v>
      </c>
      <c r="F935" s="100">
        <v>6</v>
      </c>
      <c r="G935" s="100">
        <v>-19</v>
      </c>
      <c r="H935" s="100">
        <v>1</v>
      </c>
      <c r="I935" s="100">
        <v>-39</v>
      </c>
      <c r="K935" s="105">
        <v>44428</v>
      </c>
      <c r="L935" s="100">
        <v>26.93</v>
      </c>
      <c r="M935" s="106">
        <v>22.237</v>
      </c>
      <c r="N935" s="100">
        <v>21</v>
      </c>
      <c r="O935" s="100">
        <v>45</v>
      </c>
      <c r="P935" s="100">
        <v>66</v>
      </c>
      <c r="Q935" s="100">
        <v>25</v>
      </c>
      <c r="S935" s="105">
        <v>44428</v>
      </c>
      <c r="T935" s="106">
        <f t="shared" si="14"/>
        <v>0.509</v>
      </c>
    </row>
    <row r="936" spans="3:20">
      <c r="C936" s="105">
        <v>44427</v>
      </c>
      <c r="D936" s="106">
        <v>22.118</v>
      </c>
      <c r="E936" s="100">
        <v>21.163</v>
      </c>
      <c r="F936" s="100">
        <v>5</v>
      </c>
      <c r="G936" s="100">
        <v>-19</v>
      </c>
      <c r="H936" s="100">
        <v>1</v>
      </c>
      <c r="I936" s="100">
        <v>-39</v>
      </c>
      <c r="K936" s="105">
        <v>44427</v>
      </c>
      <c r="L936" s="100">
        <v>26.804</v>
      </c>
      <c r="M936" s="106">
        <v>21.969</v>
      </c>
      <c r="N936" s="100">
        <v>22</v>
      </c>
      <c r="O936" s="100">
        <v>45</v>
      </c>
      <c r="P936" s="100">
        <v>66</v>
      </c>
      <c r="Q936" s="100">
        <v>25</v>
      </c>
      <c r="S936" s="105">
        <v>44427</v>
      </c>
      <c r="T936" s="106">
        <f t="shared" si="14"/>
        <v>0.148999999999997</v>
      </c>
    </row>
    <row r="937" spans="3:20">
      <c r="C937" s="105">
        <v>44426</v>
      </c>
      <c r="D937" s="106">
        <v>22.184</v>
      </c>
      <c r="E937" s="100">
        <v>21.529</v>
      </c>
      <c r="F937" s="100">
        <v>3</v>
      </c>
      <c r="G937" s="100">
        <v>-19</v>
      </c>
      <c r="H937" s="100">
        <v>1</v>
      </c>
      <c r="I937" s="100">
        <v>-39</v>
      </c>
      <c r="K937" s="105">
        <v>44426</v>
      </c>
      <c r="L937" s="100">
        <v>27.128</v>
      </c>
      <c r="M937" s="106">
        <v>22.329</v>
      </c>
      <c r="N937" s="100">
        <v>21</v>
      </c>
      <c r="O937" s="100">
        <v>45</v>
      </c>
      <c r="P937" s="100">
        <v>66</v>
      </c>
      <c r="Q937" s="100">
        <v>25</v>
      </c>
      <c r="S937" s="105">
        <v>44426</v>
      </c>
      <c r="T937" s="106">
        <f t="shared" si="14"/>
        <v>-0.145</v>
      </c>
    </row>
    <row r="938" spans="3:20">
      <c r="C938" s="105">
        <v>44425</v>
      </c>
      <c r="D938" s="106">
        <v>21.899</v>
      </c>
      <c r="E938" s="100">
        <v>21.595</v>
      </c>
      <c r="F938" s="100">
        <v>1</v>
      </c>
      <c r="G938" s="100">
        <v>-19</v>
      </c>
      <c r="H938" s="100">
        <v>1</v>
      </c>
      <c r="I938" s="100">
        <v>-39</v>
      </c>
      <c r="K938" s="105">
        <v>44425</v>
      </c>
      <c r="L938" s="100">
        <v>27.1</v>
      </c>
      <c r="M938" s="106">
        <v>22.381</v>
      </c>
      <c r="N938" s="100">
        <v>21</v>
      </c>
      <c r="O938" s="100">
        <v>45</v>
      </c>
      <c r="P938" s="100">
        <v>66</v>
      </c>
      <c r="Q938" s="100">
        <v>25</v>
      </c>
      <c r="S938" s="105">
        <v>44425</v>
      </c>
      <c r="T938" s="106">
        <f t="shared" si="14"/>
        <v>-0.481999999999999</v>
      </c>
    </row>
    <row r="939" spans="3:20">
      <c r="C939" s="105">
        <v>44424</v>
      </c>
      <c r="D939" s="106">
        <v>21.732</v>
      </c>
      <c r="E939" s="100">
        <v>21.615</v>
      </c>
      <c r="F939" s="100">
        <v>1</v>
      </c>
      <c r="G939" s="100">
        <v>-19</v>
      </c>
      <c r="H939" s="100">
        <v>1</v>
      </c>
      <c r="I939" s="100">
        <v>-39</v>
      </c>
      <c r="K939" s="105">
        <v>44424</v>
      </c>
      <c r="L939" s="100">
        <v>26.821</v>
      </c>
      <c r="M939" s="106">
        <v>22.359</v>
      </c>
      <c r="N939" s="100">
        <v>20</v>
      </c>
      <c r="O939" s="100">
        <v>45</v>
      </c>
      <c r="P939" s="100">
        <v>66</v>
      </c>
      <c r="Q939" s="100">
        <v>25</v>
      </c>
      <c r="S939" s="105">
        <v>44424</v>
      </c>
      <c r="T939" s="106">
        <f t="shared" si="14"/>
        <v>-0.627000000000002</v>
      </c>
    </row>
    <row r="940" spans="3:20">
      <c r="C940" s="105">
        <v>44421</v>
      </c>
      <c r="D940" s="106">
        <v>22.348</v>
      </c>
      <c r="E940" s="100">
        <v>22.141</v>
      </c>
      <c r="F940" s="100">
        <v>1</v>
      </c>
      <c r="G940" s="100">
        <v>-19</v>
      </c>
      <c r="H940" s="100">
        <v>1</v>
      </c>
      <c r="I940" s="100">
        <v>-39</v>
      </c>
      <c r="K940" s="105">
        <v>44421</v>
      </c>
      <c r="L940" s="100">
        <v>26.649</v>
      </c>
      <c r="M940" s="106">
        <v>22.785</v>
      </c>
      <c r="N940" s="100">
        <v>17</v>
      </c>
      <c r="O940" s="100">
        <v>45</v>
      </c>
      <c r="P940" s="100">
        <v>66</v>
      </c>
      <c r="Q940" s="100">
        <v>25</v>
      </c>
      <c r="S940" s="105">
        <v>44421</v>
      </c>
      <c r="T940" s="106">
        <f t="shared" si="14"/>
        <v>-0.437000000000001</v>
      </c>
    </row>
    <row r="941" spans="3:20">
      <c r="C941" s="105">
        <v>44420</v>
      </c>
      <c r="D941" s="106">
        <v>22.172</v>
      </c>
      <c r="E941" s="100">
        <v>22.267</v>
      </c>
      <c r="F941" s="100">
        <v>0</v>
      </c>
      <c r="G941" s="100">
        <v>-19</v>
      </c>
      <c r="H941" s="100">
        <v>1</v>
      </c>
      <c r="I941" s="100">
        <v>-39</v>
      </c>
      <c r="K941" s="105">
        <v>44420</v>
      </c>
      <c r="L941" s="100">
        <v>26.892</v>
      </c>
      <c r="M941" s="106">
        <v>22.928</v>
      </c>
      <c r="N941" s="100">
        <v>17</v>
      </c>
      <c r="O941" s="100">
        <v>45</v>
      </c>
      <c r="P941" s="100">
        <v>66</v>
      </c>
      <c r="Q941" s="100">
        <v>25</v>
      </c>
      <c r="S941" s="105">
        <v>44420</v>
      </c>
      <c r="T941" s="106">
        <f t="shared" si="14"/>
        <v>-0.756</v>
      </c>
    </row>
    <row r="942" spans="3:20">
      <c r="C942" s="105">
        <v>44419</v>
      </c>
      <c r="D942" s="106">
        <v>22.275</v>
      </c>
      <c r="E942" s="100">
        <v>22.245</v>
      </c>
      <c r="F942" s="100">
        <v>0</v>
      </c>
      <c r="G942" s="100">
        <v>-19</v>
      </c>
      <c r="H942" s="100">
        <v>1</v>
      </c>
      <c r="I942" s="100">
        <v>-39</v>
      </c>
      <c r="K942" s="105">
        <v>44419</v>
      </c>
      <c r="L942" s="100">
        <v>27.322</v>
      </c>
      <c r="M942" s="106">
        <v>22.971</v>
      </c>
      <c r="N942" s="100">
        <v>19</v>
      </c>
      <c r="O942" s="100">
        <v>45</v>
      </c>
      <c r="P942" s="100">
        <v>66</v>
      </c>
      <c r="Q942" s="100">
        <v>25</v>
      </c>
      <c r="S942" s="105">
        <v>44419</v>
      </c>
      <c r="T942" s="106">
        <f t="shared" si="14"/>
        <v>-0.696000000000002</v>
      </c>
    </row>
    <row r="943" spans="3:20">
      <c r="C943" s="105">
        <v>44418</v>
      </c>
      <c r="D943" s="106">
        <v>21.531</v>
      </c>
      <c r="E943" s="100">
        <v>21.955</v>
      </c>
      <c r="F943" s="100">
        <v>-2</v>
      </c>
      <c r="G943" s="100">
        <v>-19</v>
      </c>
      <c r="H943" s="100">
        <v>1</v>
      </c>
      <c r="I943" s="100">
        <v>-39</v>
      </c>
      <c r="K943" s="105">
        <v>44418</v>
      </c>
      <c r="L943" s="100">
        <v>26.496</v>
      </c>
      <c r="M943" s="106">
        <v>22.603</v>
      </c>
      <c r="N943" s="100">
        <v>17</v>
      </c>
      <c r="O943" s="100">
        <v>45</v>
      </c>
      <c r="P943" s="100">
        <v>66</v>
      </c>
      <c r="Q943" s="100">
        <v>25</v>
      </c>
      <c r="S943" s="105">
        <v>44418</v>
      </c>
      <c r="T943" s="106">
        <f t="shared" si="14"/>
        <v>-1.072</v>
      </c>
    </row>
    <row r="944" spans="3:20">
      <c r="C944" s="105">
        <v>44417</v>
      </c>
      <c r="D944" s="106">
        <v>21.478</v>
      </c>
      <c r="E944" s="100">
        <v>21.846</v>
      </c>
      <c r="F944" s="100">
        <v>-2</v>
      </c>
      <c r="G944" s="100">
        <v>-19</v>
      </c>
      <c r="H944" s="100">
        <v>1</v>
      </c>
      <c r="I944" s="100">
        <v>-39</v>
      </c>
      <c r="K944" s="105">
        <v>44417</v>
      </c>
      <c r="L944" s="100">
        <v>26.392</v>
      </c>
      <c r="M944" s="106">
        <v>22.495</v>
      </c>
      <c r="N944" s="100">
        <v>17</v>
      </c>
      <c r="O944" s="100">
        <v>45</v>
      </c>
      <c r="P944" s="100">
        <v>66</v>
      </c>
      <c r="Q944" s="100">
        <v>25</v>
      </c>
      <c r="S944" s="105">
        <v>44417</v>
      </c>
      <c r="T944" s="106">
        <f t="shared" si="14"/>
        <v>-1.017</v>
      </c>
    </row>
    <row r="945" spans="3:20">
      <c r="C945" s="105">
        <v>44414</v>
      </c>
      <c r="D945" s="106">
        <v>21.485</v>
      </c>
      <c r="E945" s="100">
        <v>21.605</v>
      </c>
      <c r="F945" s="100">
        <v>-1</v>
      </c>
      <c r="G945" s="100">
        <v>-19</v>
      </c>
      <c r="H945" s="100">
        <v>1</v>
      </c>
      <c r="I945" s="100">
        <v>-39</v>
      </c>
      <c r="K945" s="105">
        <v>44414</v>
      </c>
      <c r="L945" s="100">
        <v>26.471</v>
      </c>
      <c r="M945" s="106">
        <v>22.301</v>
      </c>
      <c r="N945" s="100">
        <v>19</v>
      </c>
      <c r="O945" s="100">
        <v>45</v>
      </c>
      <c r="P945" s="100">
        <v>66</v>
      </c>
      <c r="Q945" s="100">
        <v>25</v>
      </c>
      <c r="S945" s="105">
        <v>44414</v>
      </c>
      <c r="T945" s="106">
        <f t="shared" si="14"/>
        <v>-0.815999999999999</v>
      </c>
    </row>
    <row r="946" spans="3:20">
      <c r="C946" s="105">
        <v>44413</v>
      </c>
      <c r="D946" s="106">
        <v>21.514</v>
      </c>
      <c r="E946" s="100">
        <v>21.794</v>
      </c>
      <c r="F946" s="100">
        <v>-1</v>
      </c>
      <c r="G946" s="100">
        <v>-19</v>
      </c>
      <c r="H946" s="100">
        <v>1</v>
      </c>
      <c r="I946" s="100">
        <v>-39</v>
      </c>
      <c r="K946" s="105">
        <v>44413</v>
      </c>
      <c r="L946" s="100">
        <v>25.405</v>
      </c>
      <c r="M946" s="106">
        <v>22.31</v>
      </c>
      <c r="N946" s="100">
        <v>14</v>
      </c>
      <c r="O946" s="100">
        <v>45</v>
      </c>
      <c r="P946" s="100">
        <v>66</v>
      </c>
      <c r="Q946" s="100">
        <v>25</v>
      </c>
      <c r="S946" s="105">
        <v>44413</v>
      </c>
      <c r="T946" s="106">
        <f t="shared" si="14"/>
        <v>-0.795999999999999</v>
      </c>
    </row>
    <row r="947" spans="3:20">
      <c r="C947" s="105">
        <v>44412</v>
      </c>
      <c r="D947" s="106">
        <v>21.631</v>
      </c>
      <c r="E947" s="100">
        <v>22.383</v>
      </c>
      <c r="F947" s="100">
        <v>-3</v>
      </c>
      <c r="G947" s="100">
        <v>-19</v>
      </c>
      <c r="H947" s="100">
        <v>1</v>
      </c>
      <c r="I947" s="100">
        <v>-39</v>
      </c>
      <c r="K947" s="105">
        <v>44412</v>
      </c>
      <c r="L947" s="100">
        <v>25.391</v>
      </c>
      <c r="M947" s="106">
        <v>22.812</v>
      </c>
      <c r="N947" s="100">
        <v>11</v>
      </c>
      <c r="O947" s="100">
        <v>45</v>
      </c>
      <c r="P947" s="100">
        <v>66</v>
      </c>
      <c r="Q947" s="100">
        <v>25</v>
      </c>
      <c r="S947" s="105">
        <v>44412</v>
      </c>
      <c r="T947" s="106">
        <f t="shared" si="14"/>
        <v>-1.181</v>
      </c>
    </row>
    <row r="948" spans="3:20">
      <c r="C948" s="105">
        <v>44411</v>
      </c>
      <c r="D948" s="106">
        <v>21.179</v>
      </c>
      <c r="E948" s="100">
        <v>22.222</v>
      </c>
      <c r="F948" s="100">
        <v>-5</v>
      </c>
      <c r="G948" s="100">
        <v>-19</v>
      </c>
      <c r="H948" s="100">
        <v>1</v>
      </c>
      <c r="I948" s="100">
        <v>-39</v>
      </c>
      <c r="K948" s="105">
        <v>44411</v>
      </c>
      <c r="L948" s="100">
        <v>25.254</v>
      </c>
      <c r="M948" s="106">
        <v>22.655</v>
      </c>
      <c r="N948" s="100">
        <v>11</v>
      </c>
      <c r="O948" s="100">
        <v>45</v>
      </c>
      <c r="P948" s="100">
        <v>66</v>
      </c>
      <c r="Q948" s="100">
        <v>25</v>
      </c>
      <c r="S948" s="105">
        <v>44411</v>
      </c>
      <c r="T948" s="106">
        <f t="shared" si="14"/>
        <v>-1.476</v>
      </c>
    </row>
    <row r="949" spans="3:20">
      <c r="C949" s="105">
        <v>44410</v>
      </c>
      <c r="D949" s="106">
        <v>21.213</v>
      </c>
      <c r="E949" s="100">
        <v>22.234</v>
      </c>
      <c r="F949" s="100">
        <v>-5</v>
      </c>
      <c r="G949" s="100">
        <v>-19</v>
      </c>
      <c r="H949" s="100">
        <v>1</v>
      </c>
      <c r="I949" s="100">
        <v>-39</v>
      </c>
      <c r="K949" s="105">
        <v>44410</v>
      </c>
      <c r="L949" s="100">
        <v>25.553</v>
      </c>
      <c r="M949" s="106">
        <v>22.708</v>
      </c>
      <c r="N949" s="100">
        <v>13</v>
      </c>
      <c r="O949" s="100">
        <v>45</v>
      </c>
      <c r="P949" s="100">
        <v>66</v>
      </c>
      <c r="Q949" s="100">
        <v>25</v>
      </c>
      <c r="S949" s="105">
        <v>44410</v>
      </c>
      <c r="T949" s="106">
        <f t="shared" si="14"/>
        <v>-1.495</v>
      </c>
    </row>
    <row r="950" spans="3:20">
      <c r="C950" s="105">
        <v>44407</v>
      </c>
      <c r="D950" s="106">
        <v>20.632</v>
      </c>
      <c r="E950" s="100">
        <v>21.925</v>
      </c>
      <c r="F950" s="100">
        <v>-6</v>
      </c>
      <c r="G950" s="100">
        <v>-19</v>
      </c>
      <c r="H950" s="100">
        <v>1</v>
      </c>
      <c r="I950" s="100">
        <v>-39</v>
      </c>
      <c r="K950" s="105">
        <v>44407</v>
      </c>
      <c r="L950" s="100">
        <v>25.538</v>
      </c>
      <c r="M950" s="106">
        <v>22.441</v>
      </c>
      <c r="N950" s="100">
        <v>14</v>
      </c>
      <c r="O950" s="100">
        <v>45</v>
      </c>
      <c r="P950" s="100">
        <v>66</v>
      </c>
      <c r="Q950" s="100">
        <v>25</v>
      </c>
      <c r="S950" s="105">
        <v>44407</v>
      </c>
      <c r="T950" s="106">
        <f t="shared" si="14"/>
        <v>-1.809</v>
      </c>
    </row>
    <row r="951" spans="3:20">
      <c r="C951" s="105">
        <v>44406</v>
      </c>
      <c r="D951" s="106">
        <v>20.798</v>
      </c>
      <c r="E951" s="100">
        <v>22.05</v>
      </c>
      <c r="F951" s="100">
        <v>-6</v>
      </c>
      <c r="G951" s="100">
        <v>-19</v>
      </c>
      <c r="H951" s="100">
        <v>1</v>
      </c>
      <c r="I951" s="100">
        <v>-39</v>
      </c>
      <c r="K951" s="105">
        <v>44406</v>
      </c>
      <c r="L951" s="100">
        <v>24.959</v>
      </c>
      <c r="M951" s="106">
        <v>22.466</v>
      </c>
      <c r="N951" s="100">
        <v>11</v>
      </c>
      <c r="O951" s="100">
        <v>45</v>
      </c>
      <c r="P951" s="100">
        <v>66</v>
      </c>
      <c r="Q951" s="100">
        <v>25</v>
      </c>
      <c r="S951" s="105">
        <v>44406</v>
      </c>
      <c r="T951" s="106">
        <f t="shared" si="14"/>
        <v>-1.668</v>
      </c>
    </row>
    <row r="952" spans="3:20">
      <c r="C952" s="105">
        <v>44405</v>
      </c>
      <c r="D952" s="106">
        <v>21.072</v>
      </c>
      <c r="E952" s="100">
        <v>22.163</v>
      </c>
      <c r="F952" s="100">
        <v>-5</v>
      </c>
      <c r="G952" s="100">
        <v>-19</v>
      </c>
      <c r="H952" s="100">
        <v>1</v>
      </c>
      <c r="I952" s="100">
        <v>-39</v>
      </c>
      <c r="K952" s="105">
        <v>44405</v>
      </c>
      <c r="L952" s="100">
        <v>24.958</v>
      </c>
      <c r="M952" s="106">
        <v>22.562</v>
      </c>
      <c r="N952" s="100">
        <v>11</v>
      </c>
      <c r="O952" s="100">
        <v>45</v>
      </c>
      <c r="P952" s="100">
        <v>66</v>
      </c>
      <c r="Q952" s="100">
        <v>25</v>
      </c>
      <c r="S952" s="105">
        <v>44405</v>
      </c>
      <c r="T952" s="106">
        <f t="shared" si="14"/>
        <v>-1.49</v>
      </c>
    </row>
    <row r="953" spans="3:20">
      <c r="C953" s="105">
        <v>44404</v>
      </c>
      <c r="D953" s="106">
        <v>21.175</v>
      </c>
      <c r="E953" s="100">
        <v>22.148</v>
      </c>
      <c r="F953" s="100">
        <v>-4</v>
      </c>
      <c r="G953" s="100">
        <v>-19</v>
      </c>
      <c r="H953" s="100">
        <v>1</v>
      </c>
      <c r="I953" s="100">
        <v>-39</v>
      </c>
      <c r="K953" s="105">
        <v>44404</v>
      </c>
      <c r="L953" s="100">
        <v>25.053</v>
      </c>
      <c r="M953" s="106">
        <v>22.563</v>
      </c>
      <c r="N953" s="100">
        <v>11</v>
      </c>
      <c r="O953" s="100">
        <v>45</v>
      </c>
      <c r="P953" s="100">
        <v>66</v>
      </c>
      <c r="Q953" s="100">
        <v>25</v>
      </c>
      <c r="S953" s="105">
        <v>44404</v>
      </c>
      <c r="T953" s="106">
        <f t="shared" si="14"/>
        <v>-1.388</v>
      </c>
    </row>
    <row r="954" spans="3:20">
      <c r="C954" s="105">
        <v>44403</v>
      </c>
      <c r="D954" s="106">
        <v>21.439</v>
      </c>
      <c r="E954" s="100">
        <v>22.392</v>
      </c>
      <c r="F954" s="100">
        <v>-4</v>
      </c>
      <c r="G954" s="100">
        <v>-19</v>
      </c>
      <c r="H954" s="100">
        <v>1</v>
      </c>
      <c r="I954" s="100">
        <v>-39</v>
      </c>
      <c r="K954" s="105">
        <v>44403</v>
      </c>
      <c r="L954" s="100">
        <v>25.36</v>
      </c>
      <c r="M954" s="106">
        <v>22.816</v>
      </c>
      <c r="N954" s="100">
        <v>11</v>
      </c>
      <c r="O954" s="100">
        <v>45</v>
      </c>
      <c r="P954" s="100">
        <v>66</v>
      </c>
      <c r="Q954" s="100">
        <v>25</v>
      </c>
      <c r="S954" s="105">
        <v>44403</v>
      </c>
      <c r="T954" s="106">
        <f t="shared" si="14"/>
        <v>-1.377</v>
      </c>
    </row>
    <row r="955" spans="3:20">
      <c r="C955" s="105">
        <v>44400</v>
      </c>
      <c r="D955" s="106">
        <v>21.42</v>
      </c>
      <c r="E955" s="100">
        <v>22.401</v>
      </c>
      <c r="F955" s="100">
        <v>-4</v>
      </c>
      <c r="G955" s="100">
        <v>-19</v>
      </c>
      <c r="H955" s="100">
        <v>1</v>
      </c>
      <c r="I955" s="100">
        <v>-39</v>
      </c>
      <c r="K955" s="105">
        <v>44400</v>
      </c>
      <c r="L955" s="100">
        <v>26.062</v>
      </c>
      <c r="M955" s="106">
        <v>22.924</v>
      </c>
      <c r="N955" s="100">
        <v>14</v>
      </c>
      <c r="O955" s="100">
        <v>45</v>
      </c>
      <c r="P955" s="100">
        <v>66</v>
      </c>
      <c r="Q955" s="100">
        <v>25</v>
      </c>
      <c r="S955" s="105">
        <v>44400</v>
      </c>
      <c r="T955" s="106">
        <f t="shared" si="14"/>
        <v>-1.504</v>
      </c>
    </row>
    <row r="956" spans="3:20">
      <c r="C956" s="105">
        <v>44399</v>
      </c>
      <c r="D956" s="106">
        <v>21.458</v>
      </c>
      <c r="E956" s="100">
        <v>22.286</v>
      </c>
      <c r="F956" s="100">
        <v>-4</v>
      </c>
      <c r="G956" s="100">
        <v>-19</v>
      </c>
      <c r="H956" s="100">
        <v>1</v>
      </c>
      <c r="I956" s="100">
        <v>-39</v>
      </c>
      <c r="K956" s="105">
        <v>44399</v>
      </c>
      <c r="L956" s="100">
        <v>25.817</v>
      </c>
      <c r="M956" s="106">
        <v>22.79</v>
      </c>
      <c r="N956" s="100">
        <v>13</v>
      </c>
      <c r="O956" s="100">
        <v>45</v>
      </c>
      <c r="P956" s="100">
        <v>66</v>
      </c>
      <c r="Q956" s="100">
        <v>25</v>
      </c>
      <c r="S956" s="105">
        <v>44399</v>
      </c>
      <c r="T956" s="106">
        <f t="shared" si="14"/>
        <v>-1.332</v>
      </c>
    </row>
    <row r="957" spans="3:20">
      <c r="C957" s="105">
        <v>44398</v>
      </c>
      <c r="D957" s="106">
        <v>21.605</v>
      </c>
      <c r="E957" s="100">
        <v>22.405</v>
      </c>
      <c r="F957" s="100">
        <v>-4</v>
      </c>
      <c r="G957" s="100">
        <v>-19</v>
      </c>
      <c r="H957" s="100">
        <v>1</v>
      </c>
      <c r="I957" s="100">
        <v>-39</v>
      </c>
      <c r="K957" s="105">
        <v>44398</v>
      </c>
      <c r="L957" s="100">
        <v>25.864</v>
      </c>
      <c r="M957" s="106">
        <v>22.9</v>
      </c>
      <c r="N957" s="100">
        <v>13</v>
      </c>
      <c r="O957" s="100">
        <v>45</v>
      </c>
      <c r="P957" s="100">
        <v>66</v>
      </c>
      <c r="Q957" s="100">
        <v>25</v>
      </c>
      <c r="S957" s="105">
        <v>44398</v>
      </c>
      <c r="T957" s="106">
        <f t="shared" si="14"/>
        <v>-1.295</v>
      </c>
    </row>
    <row r="958" spans="3:20">
      <c r="C958" s="105">
        <v>44397</v>
      </c>
      <c r="D958" s="106">
        <v>20.814</v>
      </c>
      <c r="E958" s="100">
        <v>21.73</v>
      </c>
      <c r="F958" s="100">
        <v>-4</v>
      </c>
      <c r="G958" s="100">
        <v>-19</v>
      </c>
      <c r="H958" s="100">
        <v>1</v>
      </c>
      <c r="I958" s="100">
        <v>-39</v>
      </c>
      <c r="K958" s="105">
        <v>44397</v>
      </c>
      <c r="L958" s="100">
        <v>25.758</v>
      </c>
      <c r="M958" s="106">
        <v>22.305</v>
      </c>
      <c r="N958" s="100">
        <v>15</v>
      </c>
      <c r="O958" s="100">
        <v>45</v>
      </c>
      <c r="P958" s="100">
        <v>66</v>
      </c>
      <c r="Q958" s="100">
        <v>25</v>
      </c>
      <c r="S958" s="105">
        <v>44397</v>
      </c>
      <c r="T958" s="106">
        <f t="shared" si="14"/>
        <v>-1.491</v>
      </c>
    </row>
    <row r="959" spans="3:20">
      <c r="C959" s="105">
        <v>44396</v>
      </c>
      <c r="D959" s="106">
        <v>20.231</v>
      </c>
      <c r="E959" s="100">
        <v>21.424</v>
      </c>
      <c r="F959" s="100">
        <v>-6</v>
      </c>
      <c r="G959" s="100">
        <v>-19</v>
      </c>
      <c r="H959" s="100">
        <v>1</v>
      </c>
      <c r="I959" s="100">
        <v>-39</v>
      </c>
      <c r="K959" s="105">
        <v>44396</v>
      </c>
      <c r="L959" s="100">
        <v>26.115</v>
      </c>
      <c r="M959" s="106">
        <v>22.094</v>
      </c>
      <c r="N959" s="100">
        <v>18</v>
      </c>
      <c r="O959" s="100">
        <v>45</v>
      </c>
      <c r="P959" s="100">
        <v>66</v>
      </c>
      <c r="Q959" s="100">
        <v>25</v>
      </c>
      <c r="S959" s="105">
        <v>44396</v>
      </c>
      <c r="T959" s="106">
        <f t="shared" si="14"/>
        <v>-1.863</v>
      </c>
    </row>
    <row r="960" spans="3:20">
      <c r="C960" s="105">
        <v>44393</v>
      </c>
      <c r="D960" s="106">
        <v>20.631</v>
      </c>
      <c r="E960" s="100">
        <v>22.122</v>
      </c>
      <c r="F960" s="100">
        <v>-7</v>
      </c>
      <c r="G960" s="100">
        <v>-19</v>
      </c>
      <c r="H960" s="100">
        <v>1</v>
      </c>
      <c r="I960" s="100">
        <v>-39</v>
      </c>
      <c r="K960" s="105">
        <v>44393</v>
      </c>
      <c r="L960" s="100">
        <v>26.121</v>
      </c>
      <c r="M960" s="106">
        <v>22.693</v>
      </c>
      <c r="N960" s="100">
        <v>15</v>
      </c>
      <c r="O960" s="100">
        <v>45</v>
      </c>
      <c r="P960" s="100">
        <v>66</v>
      </c>
      <c r="Q960" s="100">
        <v>25</v>
      </c>
      <c r="S960" s="105">
        <v>44393</v>
      </c>
      <c r="T960" s="106">
        <f t="shared" si="14"/>
        <v>-2.062</v>
      </c>
    </row>
    <row r="961" spans="3:20">
      <c r="C961" s="105">
        <v>44392</v>
      </c>
      <c r="D961" s="106">
        <v>20.738</v>
      </c>
      <c r="E961" s="100">
        <v>22.267</v>
      </c>
      <c r="F961" s="100">
        <v>-7</v>
      </c>
      <c r="G961" s="100">
        <v>-19</v>
      </c>
      <c r="H961" s="100">
        <v>1</v>
      </c>
      <c r="I961" s="100">
        <v>-39</v>
      </c>
      <c r="K961" s="105">
        <v>44392</v>
      </c>
      <c r="L961" s="100">
        <v>26.018</v>
      </c>
      <c r="M961" s="106">
        <v>22.803</v>
      </c>
      <c r="N961" s="100">
        <v>14</v>
      </c>
      <c r="O961" s="100">
        <v>45</v>
      </c>
      <c r="P961" s="100">
        <v>66</v>
      </c>
      <c r="Q961" s="100">
        <v>25</v>
      </c>
      <c r="S961" s="105">
        <v>44392</v>
      </c>
      <c r="T961" s="106">
        <f t="shared" si="14"/>
        <v>-2.065</v>
      </c>
    </row>
    <row r="962" spans="3:20">
      <c r="C962" s="105">
        <v>44391</v>
      </c>
      <c r="D962" s="106">
        <v>21.514</v>
      </c>
      <c r="E962" s="100">
        <v>23.145</v>
      </c>
      <c r="F962" s="100">
        <v>-7</v>
      </c>
      <c r="G962" s="100">
        <v>-19</v>
      </c>
      <c r="H962" s="100">
        <v>1</v>
      </c>
      <c r="I962" s="100">
        <v>-39</v>
      </c>
      <c r="K962" s="105">
        <v>44391</v>
      </c>
      <c r="L962" s="100">
        <v>26.348</v>
      </c>
      <c r="M962" s="106">
        <v>23.602</v>
      </c>
      <c r="N962" s="100">
        <v>12</v>
      </c>
      <c r="O962" s="100">
        <v>45</v>
      </c>
      <c r="P962" s="100">
        <v>66</v>
      </c>
      <c r="Q962" s="100">
        <v>25</v>
      </c>
      <c r="S962" s="105">
        <v>44391</v>
      </c>
      <c r="T962" s="106">
        <f t="shared" si="14"/>
        <v>-2.088</v>
      </c>
    </row>
    <row r="963" spans="3:20">
      <c r="C963" s="105">
        <v>44390</v>
      </c>
      <c r="D963" s="106">
        <v>21.657</v>
      </c>
      <c r="E963" s="100">
        <v>23.346</v>
      </c>
      <c r="F963" s="100">
        <v>-7</v>
      </c>
      <c r="G963" s="100">
        <v>-19</v>
      </c>
      <c r="H963" s="100">
        <v>1</v>
      </c>
      <c r="I963" s="100">
        <v>-39</v>
      </c>
      <c r="K963" s="105">
        <v>44390</v>
      </c>
      <c r="L963" s="100">
        <v>26.843</v>
      </c>
      <c r="M963" s="106">
        <v>23.845</v>
      </c>
      <c r="N963" s="100">
        <v>13</v>
      </c>
      <c r="O963" s="100">
        <v>45</v>
      </c>
      <c r="P963" s="100">
        <v>66</v>
      </c>
      <c r="Q963" s="100">
        <v>25</v>
      </c>
      <c r="S963" s="105">
        <v>44390</v>
      </c>
      <c r="T963" s="106">
        <f t="shared" si="14"/>
        <v>-2.188</v>
      </c>
    </row>
    <row r="964" spans="3:20">
      <c r="C964" s="105">
        <v>44389</v>
      </c>
      <c r="D964" s="106">
        <v>21.968</v>
      </c>
      <c r="E964" s="100">
        <v>23.279</v>
      </c>
      <c r="F964" s="100">
        <v>-6</v>
      </c>
      <c r="G964" s="100">
        <v>-19</v>
      </c>
      <c r="H964" s="100">
        <v>1</v>
      </c>
      <c r="I964" s="100">
        <v>-39</v>
      </c>
      <c r="K964" s="105">
        <v>44389</v>
      </c>
      <c r="L964" s="100">
        <v>27.346</v>
      </c>
      <c r="M964" s="106">
        <v>23.86</v>
      </c>
      <c r="N964" s="100">
        <v>15</v>
      </c>
      <c r="O964" s="100">
        <v>45</v>
      </c>
      <c r="P964" s="100">
        <v>66</v>
      </c>
      <c r="Q964" s="100">
        <v>25</v>
      </c>
      <c r="S964" s="105">
        <v>44389</v>
      </c>
      <c r="T964" s="106">
        <f t="shared" si="14"/>
        <v>-1.892</v>
      </c>
    </row>
    <row r="965" spans="3:20">
      <c r="C965" s="105">
        <v>44386</v>
      </c>
      <c r="D965" s="106">
        <v>22.334</v>
      </c>
      <c r="E965" s="100">
        <v>23.355</v>
      </c>
      <c r="F965" s="100">
        <v>-4</v>
      </c>
      <c r="G965" s="100">
        <v>-19</v>
      </c>
      <c r="H965" s="100">
        <v>1</v>
      </c>
      <c r="I965" s="100">
        <v>-39</v>
      </c>
      <c r="K965" s="105">
        <v>44386</v>
      </c>
      <c r="L965" s="100">
        <v>27.112</v>
      </c>
      <c r="M965" s="106">
        <v>23.891</v>
      </c>
      <c r="N965" s="100">
        <v>13</v>
      </c>
      <c r="O965" s="100">
        <v>45</v>
      </c>
      <c r="P965" s="100">
        <v>66</v>
      </c>
      <c r="Q965" s="100">
        <v>25</v>
      </c>
      <c r="S965" s="105">
        <v>44386</v>
      </c>
      <c r="T965" s="106">
        <f t="shared" si="14"/>
        <v>-1.557</v>
      </c>
    </row>
    <row r="966" spans="3:20">
      <c r="C966" s="105">
        <v>44385</v>
      </c>
      <c r="D966" s="106">
        <v>21.887</v>
      </c>
      <c r="E966" s="100">
        <v>22.958</v>
      </c>
      <c r="F966" s="100">
        <v>-5</v>
      </c>
      <c r="G966" s="100">
        <v>-19</v>
      </c>
      <c r="H966" s="100">
        <v>1</v>
      </c>
      <c r="I966" s="100">
        <v>-39</v>
      </c>
      <c r="K966" s="105">
        <v>44385</v>
      </c>
      <c r="L966" s="100">
        <v>27.092</v>
      </c>
      <c r="M966" s="106">
        <v>23.549</v>
      </c>
      <c r="N966" s="100">
        <v>15</v>
      </c>
      <c r="O966" s="100">
        <v>45</v>
      </c>
      <c r="P966" s="100">
        <v>66</v>
      </c>
      <c r="Q966" s="100">
        <v>25</v>
      </c>
      <c r="S966" s="105">
        <v>44385</v>
      </c>
      <c r="T966" s="106">
        <f t="shared" si="14"/>
        <v>-1.662</v>
      </c>
    </row>
    <row r="967" spans="3:20">
      <c r="C967" s="105">
        <v>44384</v>
      </c>
      <c r="D967" s="106">
        <v>22.88</v>
      </c>
      <c r="E967" s="100">
        <v>23.455</v>
      </c>
      <c r="F967" s="100">
        <v>-2</v>
      </c>
      <c r="G967" s="100">
        <v>-19</v>
      </c>
      <c r="H967" s="100">
        <v>1</v>
      </c>
      <c r="I967" s="100">
        <v>-39</v>
      </c>
      <c r="K967" s="105">
        <v>44384</v>
      </c>
      <c r="L967" s="100">
        <v>27.781</v>
      </c>
      <c r="M967" s="106">
        <v>24.073</v>
      </c>
      <c r="N967" s="100">
        <v>15</v>
      </c>
      <c r="O967" s="100">
        <v>45</v>
      </c>
      <c r="P967" s="100">
        <v>66</v>
      </c>
      <c r="Q967" s="100">
        <v>25</v>
      </c>
      <c r="S967" s="105">
        <v>44384</v>
      </c>
      <c r="T967" s="106">
        <f t="shared" si="14"/>
        <v>-1.193</v>
      </c>
    </row>
    <row r="968" spans="3:20">
      <c r="C968" s="105">
        <v>44383</v>
      </c>
      <c r="D968" s="106">
        <v>22.608</v>
      </c>
      <c r="E968" s="100">
        <v>23.465</v>
      </c>
      <c r="F968" s="100">
        <v>-4</v>
      </c>
      <c r="G968" s="100">
        <v>-19</v>
      </c>
      <c r="H968" s="100">
        <v>1</v>
      </c>
      <c r="I968" s="100">
        <v>-39</v>
      </c>
      <c r="K968" s="105">
        <v>44383</v>
      </c>
      <c r="L968" s="100">
        <v>27.485</v>
      </c>
      <c r="M968" s="106">
        <v>24.039</v>
      </c>
      <c r="N968" s="100">
        <v>14</v>
      </c>
      <c r="O968" s="100">
        <v>45</v>
      </c>
      <c r="P968" s="100">
        <v>66</v>
      </c>
      <c r="Q968" s="100">
        <v>25</v>
      </c>
      <c r="S968" s="105">
        <v>44383</v>
      </c>
      <c r="T968" s="106">
        <f t="shared" si="14"/>
        <v>-1.431</v>
      </c>
    </row>
    <row r="969" spans="3:20">
      <c r="C969" s="105">
        <v>44382</v>
      </c>
      <c r="D969" s="106">
        <v>22.86</v>
      </c>
      <c r="E969" s="100">
        <v>23.655</v>
      </c>
      <c r="F969" s="100">
        <v>-3</v>
      </c>
      <c r="G969" s="100">
        <v>-19</v>
      </c>
      <c r="H969" s="100">
        <v>1</v>
      </c>
      <c r="I969" s="100">
        <v>-39</v>
      </c>
      <c r="K969" s="105">
        <v>44382</v>
      </c>
      <c r="L969" s="100">
        <v>27.175</v>
      </c>
      <c r="M969" s="106">
        <v>24.158</v>
      </c>
      <c r="N969" s="100">
        <v>12</v>
      </c>
      <c r="O969" s="100">
        <v>45</v>
      </c>
      <c r="P969" s="100">
        <v>66</v>
      </c>
      <c r="Q969" s="100">
        <v>25</v>
      </c>
      <c r="S969" s="105">
        <v>44382</v>
      </c>
      <c r="T969" s="106">
        <f t="shared" si="14"/>
        <v>-1.298</v>
      </c>
    </row>
    <row r="970" spans="3:20">
      <c r="C970" s="105">
        <v>44379</v>
      </c>
      <c r="D970" s="106">
        <v>23.327</v>
      </c>
      <c r="E970" s="100">
        <v>23.678</v>
      </c>
      <c r="F970" s="100">
        <v>-1</v>
      </c>
      <c r="G970" s="100">
        <v>-19</v>
      </c>
      <c r="H970" s="100">
        <v>1</v>
      </c>
      <c r="I970" s="100">
        <v>-39</v>
      </c>
      <c r="K970" s="105">
        <v>44379</v>
      </c>
      <c r="L970" s="100">
        <v>27.398</v>
      </c>
      <c r="M970" s="106">
        <v>24.209</v>
      </c>
      <c r="N970" s="100">
        <v>13</v>
      </c>
      <c r="O970" s="100">
        <v>45</v>
      </c>
      <c r="P970" s="100">
        <v>66</v>
      </c>
      <c r="Q970" s="100">
        <v>25</v>
      </c>
      <c r="S970" s="105">
        <v>44379</v>
      </c>
      <c r="T970" s="106">
        <f t="shared" si="14"/>
        <v>-0.881999999999998</v>
      </c>
    </row>
    <row r="971" spans="3:20">
      <c r="C971" s="105">
        <v>44378</v>
      </c>
      <c r="D971" s="106">
        <v>23.114</v>
      </c>
      <c r="E971" s="100">
        <v>23.603</v>
      </c>
      <c r="F971" s="100">
        <v>-2</v>
      </c>
      <c r="G971" s="100">
        <v>-19</v>
      </c>
      <c r="H971" s="100">
        <v>1</v>
      </c>
      <c r="I971" s="100">
        <v>-39</v>
      </c>
      <c r="K971" s="105">
        <v>44378</v>
      </c>
      <c r="L971" s="100">
        <v>27.342</v>
      </c>
      <c r="M971" s="106">
        <v>24.137</v>
      </c>
      <c r="N971" s="100">
        <v>13</v>
      </c>
      <c r="O971" s="100">
        <v>45</v>
      </c>
      <c r="P971" s="100">
        <v>66</v>
      </c>
      <c r="Q971" s="100">
        <v>25</v>
      </c>
      <c r="S971" s="105">
        <v>44378</v>
      </c>
      <c r="T971" s="106">
        <f t="shared" si="14"/>
        <v>-1.023</v>
      </c>
    </row>
    <row r="972" spans="3:20">
      <c r="C972" s="105">
        <v>44377</v>
      </c>
      <c r="D972" s="106">
        <v>23.502</v>
      </c>
      <c r="E972" s="100">
        <v>23.613</v>
      </c>
      <c r="F972" s="100">
        <v>0</v>
      </c>
      <c r="G972" s="100">
        <v>-19</v>
      </c>
      <c r="H972" s="100">
        <v>1</v>
      </c>
      <c r="I972" s="100">
        <v>-39</v>
      </c>
      <c r="K972" s="105">
        <v>44377</v>
      </c>
      <c r="L972" s="100">
        <v>27.675</v>
      </c>
      <c r="M972" s="106">
        <v>24.193</v>
      </c>
      <c r="N972" s="100">
        <v>14</v>
      </c>
      <c r="O972" s="100">
        <v>45</v>
      </c>
      <c r="P972" s="100">
        <v>66</v>
      </c>
      <c r="Q972" s="100">
        <v>25</v>
      </c>
      <c r="S972" s="105">
        <v>44377</v>
      </c>
      <c r="T972" s="106">
        <f t="shared" si="14"/>
        <v>-0.691000000000003</v>
      </c>
    </row>
    <row r="973" spans="3:20">
      <c r="C973" s="105">
        <v>44376</v>
      </c>
      <c r="D973" s="106">
        <v>23.483</v>
      </c>
      <c r="E973" s="100">
        <v>23.623</v>
      </c>
      <c r="F973" s="100">
        <v>-1</v>
      </c>
      <c r="G973" s="100">
        <v>-19</v>
      </c>
      <c r="H973" s="100">
        <v>1</v>
      </c>
      <c r="I973" s="100">
        <v>-39</v>
      </c>
      <c r="K973" s="105">
        <v>44376</v>
      </c>
      <c r="L973" s="100">
        <v>28.29</v>
      </c>
      <c r="M973" s="106">
        <v>24.289</v>
      </c>
      <c r="N973" s="100">
        <v>16</v>
      </c>
      <c r="O973" s="100">
        <v>45</v>
      </c>
      <c r="P973" s="100">
        <v>66</v>
      </c>
      <c r="Q973" s="100">
        <v>25</v>
      </c>
      <c r="S973" s="105">
        <v>44376</v>
      </c>
      <c r="T973" s="106">
        <f t="shared" si="14"/>
        <v>-0.806000000000001</v>
      </c>
    </row>
    <row r="974" spans="3:20">
      <c r="C974" s="105">
        <v>44375</v>
      </c>
      <c r="D974" s="106">
        <v>23.772</v>
      </c>
      <c r="E974" s="100">
        <v>23.66</v>
      </c>
      <c r="F974" s="100">
        <v>0</v>
      </c>
      <c r="G974" s="100">
        <v>-19</v>
      </c>
      <c r="H974" s="100">
        <v>1</v>
      </c>
      <c r="I974" s="100">
        <v>-39</v>
      </c>
      <c r="K974" s="105">
        <v>44375</v>
      </c>
      <c r="L974" s="100">
        <v>28.235</v>
      </c>
      <c r="M974" s="106">
        <v>24.313</v>
      </c>
      <c r="N974" s="100">
        <v>16</v>
      </c>
      <c r="O974" s="100">
        <v>45</v>
      </c>
      <c r="P974" s="100">
        <v>66</v>
      </c>
      <c r="Q974" s="100">
        <v>25</v>
      </c>
      <c r="S974" s="105">
        <v>44375</v>
      </c>
      <c r="T974" s="106">
        <f t="shared" si="14"/>
        <v>-0.541</v>
      </c>
    </row>
    <row r="975" spans="3:20">
      <c r="C975" s="105">
        <v>44372</v>
      </c>
      <c r="D975" s="106">
        <v>24.426</v>
      </c>
      <c r="E975" s="100">
        <v>24.081</v>
      </c>
      <c r="F975" s="100">
        <v>1</v>
      </c>
      <c r="G975" s="100">
        <v>-19</v>
      </c>
      <c r="H975" s="100">
        <v>1</v>
      </c>
      <c r="I975" s="100">
        <v>-39</v>
      </c>
      <c r="K975" s="105">
        <v>44372</v>
      </c>
      <c r="L975" s="100">
        <v>28.722</v>
      </c>
      <c r="M975" s="106">
        <v>24.744</v>
      </c>
      <c r="N975" s="100">
        <v>16</v>
      </c>
      <c r="O975" s="100">
        <v>45</v>
      </c>
      <c r="P975" s="100">
        <v>66</v>
      </c>
      <c r="Q975" s="100">
        <v>25</v>
      </c>
      <c r="S975" s="105">
        <v>44372</v>
      </c>
      <c r="T975" s="106">
        <f t="shared" si="14"/>
        <v>-0.318000000000001</v>
      </c>
    </row>
    <row r="976" spans="3:20">
      <c r="C976" s="105">
        <v>44371</v>
      </c>
      <c r="D976" s="106">
        <v>23.407</v>
      </c>
      <c r="E976" s="100">
        <v>23.829</v>
      </c>
      <c r="F976" s="100">
        <v>-2</v>
      </c>
      <c r="G976" s="100">
        <v>-19</v>
      </c>
      <c r="H976" s="100">
        <v>1</v>
      </c>
      <c r="I976" s="100">
        <v>-39</v>
      </c>
      <c r="K976" s="105">
        <v>44371</v>
      </c>
      <c r="L976" s="100">
        <v>28.382</v>
      </c>
      <c r="M976" s="106">
        <v>24.48</v>
      </c>
      <c r="N976" s="100">
        <v>16</v>
      </c>
      <c r="O976" s="100">
        <v>45</v>
      </c>
      <c r="P976" s="100">
        <v>66</v>
      </c>
      <c r="Q976" s="100">
        <v>25</v>
      </c>
      <c r="S976" s="105">
        <v>44371</v>
      </c>
      <c r="T976" s="106">
        <f t="shared" si="14"/>
        <v>-1.073</v>
      </c>
    </row>
    <row r="977" spans="3:20">
      <c r="C977" s="105">
        <v>44370</v>
      </c>
      <c r="D977" s="106">
        <v>23.183</v>
      </c>
      <c r="E977" s="100">
        <v>23.596</v>
      </c>
      <c r="F977" s="100">
        <v>-2</v>
      </c>
      <c r="G977" s="100">
        <v>-19</v>
      </c>
      <c r="H977" s="100">
        <v>1</v>
      </c>
      <c r="I977" s="100">
        <v>-39</v>
      </c>
      <c r="K977" s="105">
        <v>44370</v>
      </c>
      <c r="L977" s="100">
        <v>28.009</v>
      </c>
      <c r="M977" s="106">
        <v>24.227</v>
      </c>
      <c r="N977" s="100">
        <v>16</v>
      </c>
      <c r="O977" s="100">
        <v>45</v>
      </c>
      <c r="P977" s="100">
        <v>66</v>
      </c>
      <c r="Q977" s="100">
        <v>25</v>
      </c>
      <c r="S977" s="105">
        <v>44370</v>
      </c>
      <c r="T977" s="106">
        <f t="shared" si="14"/>
        <v>-1.044</v>
      </c>
    </row>
    <row r="978" spans="3:20">
      <c r="C978" s="105">
        <v>44369</v>
      </c>
      <c r="D978" s="106">
        <v>22.784</v>
      </c>
      <c r="E978" s="100">
        <v>23.551</v>
      </c>
      <c r="F978" s="100">
        <v>-3</v>
      </c>
      <c r="G978" s="100">
        <v>-19</v>
      </c>
      <c r="H978" s="100">
        <v>1</v>
      </c>
      <c r="I978" s="100">
        <v>-39</v>
      </c>
      <c r="K978" s="105">
        <v>44369</v>
      </c>
      <c r="L978" s="100">
        <v>28.446</v>
      </c>
      <c r="M978" s="106">
        <v>24.25</v>
      </c>
      <c r="N978" s="100">
        <v>17</v>
      </c>
      <c r="O978" s="100">
        <v>45</v>
      </c>
      <c r="P978" s="100">
        <v>66</v>
      </c>
      <c r="Q978" s="100">
        <v>25</v>
      </c>
      <c r="S978" s="105">
        <v>44369</v>
      </c>
      <c r="T978" s="106">
        <f t="shared" si="14"/>
        <v>-1.466</v>
      </c>
    </row>
    <row r="979" spans="3:20">
      <c r="C979" s="105">
        <v>44368</v>
      </c>
      <c r="D979" s="106">
        <v>22.703</v>
      </c>
      <c r="E979" s="100">
        <v>23.513</v>
      </c>
      <c r="F979" s="100">
        <v>-3</v>
      </c>
      <c r="G979" s="100">
        <v>-19</v>
      </c>
      <c r="H979" s="100">
        <v>1</v>
      </c>
      <c r="I979" s="100">
        <v>-39</v>
      </c>
      <c r="K979" s="105">
        <v>44368</v>
      </c>
      <c r="L979" s="100">
        <v>28.129</v>
      </c>
      <c r="M979" s="106">
        <v>24.172</v>
      </c>
      <c r="N979" s="100">
        <v>16</v>
      </c>
      <c r="O979" s="100">
        <v>45</v>
      </c>
      <c r="P979" s="100">
        <v>66</v>
      </c>
      <c r="Q979" s="100">
        <v>25</v>
      </c>
      <c r="S979" s="105">
        <v>44368</v>
      </c>
      <c r="T979" s="106">
        <f t="shared" si="14"/>
        <v>-1.469</v>
      </c>
    </row>
    <row r="980" spans="3:20">
      <c r="C980" s="105">
        <v>44365</v>
      </c>
      <c r="D980" s="106">
        <v>22.581</v>
      </c>
      <c r="E980" s="100">
        <v>23.453</v>
      </c>
      <c r="F980" s="100">
        <v>-4</v>
      </c>
      <c r="G980" s="100">
        <v>-19</v>
      </c>
      <c r="H980" s="100">
        <v>1</v>
      </c>
      <c r="I980" s="100">
        <v>-39</v>
      </c>
      <c r="K980" s="105">
        <v>44365</v>
      </c>
      <c r="L980" s="100">
        <v>27.604</v>
      </c>
      <c r="M980" s="106">
        <v>24.046</v>
      </c>
      <c r="N980" s="100">
        <v>15</v>
      </c>
      <c r="O980" s="100">
        <v>45</v>
      </c>
      <c r="P980" s="100">
        <v>66</v>
      </c>
      <c r="Q980" s="100">
        <v>25</v>
      </c>
      <c r="S980" s="105">
        <v>44365</v>
      </c>
      <c r="T980" s="106">
        <f t="shared" si="14"/>
        <v>-1.465</v>
      </c>
    </row>
    <row r="981" spans="3:20">
      <c r="C981" s="105">
        <v>44364</v>
      </c>
      <c r="D981" s="106">
        <v>23.282</v>
      </c>
      <c r="E981" s="100">
        <v>23.965</v>
      </c>
      <c r="F981" s="100">
        <v>-3</v>
      </c>
      <c r="G981" s="100">
        <v>-19</v>
      </c>
      <c r="H981" s="100">
        <v>1</v>
      </c>
      <c r="I981" s="100">
        <v>-39</v>
      </c>
      <c r="K981" s="105">
        <v>44364</v>
      </c>
      <c r="L981" s="100">
        <v>27.673</v>
      </c>
      <c r="M981" s="106">
        <v>24.495</v>
      </c>
      <c r="N981" s="100">
        <v>13</v>
      </c>
      <c r="O981" s="100">
        <v>45</v>
      </c>
      <c r="P981" s="100">
        <v>66</v>
      </c>
      <c r="Q981" s="100">
        <v>25</v>
      </c>
      <c r="S981" s="105">
        <v>44364</v>
      </c>
      <c r="T981" s="106">
        <f t="shared" si="14"/>
        <v>-1.213</v>
      </c>
    </row>
    <row r="982" spans="3:20">
      <c r="C982" s="105">
        <v>44363</v>
      </c>
      <c r="D982" s="106">
        <v>23.269</v>
      </c>
      <c r="E982" s="100">
        <v>23.993</v>
      </c>
      <c r="F982" s="100">
        <v>-3</v>
      </c>
      <c r="G982" s="100">
        <v>-19</v>
      </c>
      <c r="H982" s="100">
        <v>1</v>
      </c>
      <c r="I982" s="100">
        <v>-39</v>
      </c>
      <c r="K982" s="105">
        <v>44363</v>
      </c>
      <c r="L982" s="100">
        <v>27.444</v>
      </c>
      <c r="M982" s="106">
        <v>24.486</v>
      </c>
      <c r="N982" s="100">
        <v>12</v>
      </c>
      <c r="O982" s="100">
        <v>45</v>
      </c>
      <c r="P982" s="100">
        <v>66</v>
      </c>
      <c r="Q982" s="100">
        <v>25</v>
      </c>
      <c r="S982" s="105">
        <v>44363</v>
      </c>
      <c r="T982" s="106">
        <f t="shared" ref="T982:T1045" si="15">D982-M982</f>
        <v>-1.217</v>
      </c>
    </row>
    <row r="983" spans="3:20">
      <c r="C983" s="105">
        <v>44362</v>
      </c>
      <c r="D983" s="106">
        <v>23.435</v>
      </c>
      <c r="E983" s="100">
        <v>23.988</v>
      </c>
      <c r="F983" s="100">
        <v>-2</v>
      </c>
      <c r="G983" s="100">
        <v>-19</v>
      </c>
      <c r="H983" s="100">
        <v>1</v>
      </c>
      <c r="I983" s="100">
        <v>-39</v>
      </c>
      <c r="K983" s="105">
        <v>44362</v>
      </c>
      <c r="L983" s="100">
        <v>27.202</v>
      </c>
      <c r="M983" s="106">
        <v>24.447</v>
      </c>
      <c r="N983" s="100">
        <v>11</v>
      </c>
      <c r="O983" s="100">
        <v>45</v>
      </c>
      <c r="P983" s="100">
        <v>66</v>
      </c>
      <c r="Q983" s="100">
        <v>25</v>
      </c>
      <c r="S983" s="105">
        <v>44362</v>
      </c>
      <c r="T983" s="106">
        <f t="shared" si="15"/>
        <v>-1.012</v>
      </c>
    </row>
    <row r="984" spans="3:20">
      <c r="C984" s="105">
        <v>44361</v>
      </c>
      <c r="D984" s="106">
        <v>23.535</v>
      </c>
      <c r="E984" s="100">
        <v>24.334</v>
      </c>
      <c r="F984" s="100">
        <v>-3</v>
      </c>
      <c r="G984" s="100">
        <v>-19</v>
      </c>
      <c r="H984" s="100">
        <v>1</v>
      </c>
      <c r="I984" s="100">
        <v>-39</v>
      </c>
      <c r="K984" s="105">
        <v>44361</v>
      </c>
      <c r="L984" s="100">
        <v>26.973</v>
      </c>
      <c r="M984" s="106">
        <v>24.711</v>
      </c>
      <c r="N984" s="100">
        <v>9</v>
      </c>
      <c r="O984" s="100">
        <v>45</v>
      </c>
      <c r="P984" s="100">
        <v>66</v>
      </c>
      <c r="Q984" s="100">
        <v>25</v>
      </c>
      <c r="S984" s="105">
        <v>44361</v>
      </c>
      <c r="T984" s="106">
        <f t="shared" si="15"/>
        <v>-1.176</v>
      </c>
    </row>
    <row r="985" spans="3:20">
      <c r="C985" s="105">
        <v>44358</v>
      </c>
      <c r="D985" s="106">
        <v>23.693</v>
      </c>
      <c r="E985" s="100">
        <v>24.411</v>
      </c>
      <c r="F985" s="100">
        <v>-3</v>
      </c>
      <c r="G985" s="100">
        <v>-19</v>
      </c>
      <c r="H985" s="100">
        <v>1</v>
      </c>
      <c r="I985" s="100">
        <v>-39</v>
      </c>
      <c r="K985" s="105">
        <v>44358</v>
      </c>
      <c r="L985" s="100">
        <v>26.97</v>
      </c>
      <c r="M985" s="106">
        <v>24.776</v>
      </c>
      <c r="N985" s="100">
        <v>9</v>
      </c>
      <c r="O985" s="100">
        <v>45</v>
      </c>
      <c r="P985" s="100">
        <v>66</v>
      </c>
      <c r="Q985" s="100">
        <v>25</v>
      </c>
      <c r="S985" s="105">
        <v>44358</v>
      </c>
      <c r="T985" s="106">
        <f t="shared" si="15"/>
        <v>-1.083</v>
      </c>
    </row>
    <row r="986" spans="3:20">
      <c r="C986" s="105">
        <v>44357</v>
      </c>
      <c r="D986" s="106">
        <v>23.42</v>
      </c>
      <c r="E986" s="100">
        <v>24.416</v>
      </c>
      <c r="F986" s="100">
        <v>-4</v>
      </c>
      <c r="G986" s="100">
        <v>-19</v>
      </c>
      <c r="H986" s="100">
        <v>1</v>
      </c>
      <c r="I986" s="100">
        <v>-39</v>
      </c>
      <c r="K986" s="105">
        <v>44357</v>
      </c>
      <c r="L986" s="100">
        <v>26.431</v>
      </c>
      <c r="M986" s="106">
        <v>24.704</v>
      </c>
      <c r="N986" s="100">
        <v>7</v>
      </c>
      <c r="O986" s="100">
        <v>45</v>
      </c>
      <c r="P986" s="100">
        <v>66</v>
      </c>
      <c r="Q986" s="100">
        <v>25</v>
      </c>
      <c r="S986" s="105">
        <v>44357</v>
      </c>
      <c r="T986" s="106">
        <f t="shared" si="15"/>
        <v>-1.284</v>
      </c>
    </row>
    <row r="987" spans="3:20">
      <c r="C987" s="105">
        <v>44356</v>
      </c>
      <c r="D987" s="106">
        <v>23.836</v>
      </c>
      <c r="E987" s="100">
        <v>24.799</v>
      </c>
      <c r="F987" s="100">
        <v>-4</v>
      </c>
      <c r="G987" s="100">
        <v>-19</v>
      </c>
      <c r="H987" s="100">
        <v>1</v>
      </c>
      <c r="I987" s="100">
        <v>-39</v>
      </c>
      <c r="K987" s="105">
        <v>44356</v>
      </c>
      <c r="L987" s="100">
        <v>26.193</v>
      </c>
      <c r="M987" s="106">
        <v>24.998</v>
      </c>
      <c r="N987" s="100">
        <v>5</v>
      </c>
      <c r="O987" s="100">
        <v>45</v>
      </c>
      <c r="P987" s="100">
        <v>66</v>
      </c>
      <c r="Q987" s="100">
        <v>25</v>
      </c>
      <c r="S987" s="105">
        <v>44356</v>
      </c>
      <c r="T987" s="106">
        <f t="shared" si="15"/>
        <v>-1.162</v>
      </c>
    </row>
    <row r="988" spans="3:20">
      <c r="C988" s="105">
        <v>44355</v>
      </c>
      <c r="D988" s="106">
        <v>24.33</v>
      </c>
      <c r="E988" s="100">
        <v>25.224</v>
      </c>
      <c r="F988" s="100">
        <v>-4</v>
      </c>
      <c r="G988" s="100">
        <v>-19</v>
      </c>
      <c r="H988" s="100">
        <v>1</v>
      </c>
      <c r="I988" s="100">
        <v>-39</v>
      </c>
      <c r="K988" s="105">
        <v>44355</v>
      </c>
      <c r="L988" s="100">
        <v>26.382</v>
      </c>
      <c r="M988" s="106">
        <v>25.39</v>
      </c>
      <c r="N988" s="100">
        <v>4</v>
      </c>
      <c r="O988" s="100">
        <v>45</v>
      </c>
      <c r="P988" s="100">
        <v>66</v>
      </c>
      <c r="Q988" s="100">
        <v>25</v>
      </c>
      <c r="S988" s="105">
        <v>44355</v>
      </c>
      <c r="T988" s="106">
        <f t="shared" si="15"/>
        <v>-1.06</v>
      </c>
    </row>
    <row r="989" spans="3:20">
      <c r="C989" s="105">
        <v>44354</v>
      </c>
      <c r="D989" s="106">
        <v>24.462</v>
      </c>
      <c r="E989" s="100">
        <v>25.067</v>
      </c>
      <c r="F989" s="100">
        <v>-2</v>
      </c>
      <c r="G989" s="100">
        <v>-19</v>
      </c>
      <c r="H989" s="100">
        <v>1</v>
      </c>
      <c r="I989" s="100">
        <v>-39</v>
      </c>
      <c r="K989" s="105">
        <v>44354</v>
      </c>
      <c r="L989" s="100">
        <v>26.368</v>
      </c>
      <c r="M989" s="106">
        <v>25.253</v>
      </c>
      <c r="N989" s="100">
        <v>4</v>
      </c>
      <c r="O989" s="100">
        <v>45</v>
      </c>
      <c r="P989" s="100">
        <v>66</v>
      </c>
      <c r="Q989" s="100">
        <v>25</v>
      </c>
      <c r="S989" s="105">
        <v>44354</v>
      </c>
      <c r="T989" s="106">
        <f t="shared" si="15"/>
        <v>-0.791</v>
      </c>
    </row>
    <row r="990" spans="3:20">
      <c r="C990" s="105">
        <v>44351</v>
      </c>
      <c r="D990" s="106">
        <v>24.223</v>
      </c>
      <c r="E990" s="100">
        <v>24.901</v>
      </c>
      <c r="F990" s="100">
        <v>-3</v>
      </c>
      <c r="G990" s="100">
        <v>-19</v>
      </c>
      <c r="H990" s="100">
        <v>1</v>
      </c>
      <c r="I990" s="100">
        <v>-39</v>
      </c>
      <c r="K990" s="105">
        <v>44351</v>
      </c>
      <c r="L990" s="100">
        <v>26.53</v>
      </c>
      <c r="M990" s="106">
        <v>25.134</v>
      </c>
      <c r="N990" s="100">
        <v>6</v>
      </c>
      <c r="O990" s="100">
        <v>45</v>
      </c>
      <c r="P990" s="100">
        <v>66</v>
      </c>
      <c r="Q990" s="100">
        <v>25</v>
      </c>
      <c r="S990" s="105">
        <v>44351</v>
      </c>
      <c r="T990" s="106">
        <f t="shared" si="15"/>
        <v>-0.911000000000001</v>
      </c>
    </row>
    <row r="991" spans="3:20">
      <c r="C991" s="105">
        <v>44350</v>
      </c>
      <c r="D991" s="106">
        <v>24.312</v>
      </c>
      <c r="E991" s="100">
        <v>24.97</v>
      </c>
      <c r="F991" s="100">
        <v>-3</v>
      </c>
      <c r="G991" s="100">
        <v>-19</v>
      </c>
      <c r="H991" s="100">
        <v>1</v>
      </c>
      <c r="I991" s="100">
        <v>-39</v>
      </c>
      <c r="K991" s="105">
        <v>44350</v>
      </c>
      <c r="L991" s="100">
        <v>26.045</v>
      </c>
      <c r="M991" s="106">
        <v>25.124</v>
      </c>
      <c r="N991" s="100">
        <v>4</v>
      </c>
      <c r="O991" s="100">
        <v>45</v>
      </c>
      <c r="P991" s="100">
        <v>66</v>
      </c>
      <c r="Q991" s="100">
        <v>25</v>
      </c>
      <c r="S991" s="105">
        <v>44350</v>
      </c>
      <c r="T991" s="106">
        <f t="shared" si="15"/>
        <v>-0.811999999999998</v>
      </c>
    </row>
    <row r="992" spans="3:20">
      <c r="C992" s="105">
        <v>44349</v>
      </c>
      <c r="D992" s="106">
        <v>24.631</v>
      </c>
      <c r="E992" s="100">
        <v>25.233</v>
      </c>
      <c r="F992" s="100">
        <v>-2</v>
      </c>
      <c r="G992" s="100">
        <v>-19</v>
      </c>
      <c r="H992" s="100">
        <v>1</v>
      </c>
      <c r="I992" s="100">
        <v>-39</v>
      </c>
      <c r="K992" s="105">
        <v>44349</v>
      </c>
      <c r="L992" s="100">
        <v>26.269</v>
      </c>
      <c r="M992" s="106">
        <v>25.381</v>
      </c>
      <c r="N992" s="100">
        <v>3</v>
      </c>
      <c r="O992" s="100">
        <v>45</v>
      </c>
      <c r="P992" s="100">
        <v>66</v>
      </c>
      <c r="Q992" s="100">
        <v>25</v>
      </c>
      <c r="S992" s="105">
        <v>44349</v>
      </c>
      <c r="T992" s="106">
        <f t="shared" si="15"/>
        <v>-0.75</v>
      </c>
    </row>
    <row r="993" spans="3:20">
      <c r="C993" s="105">
        <v>44348</v>
      </c>
      <c r="D993" s="106">
        <v>24.644</v>
      </c>
      <c r="E993" s="100">
        <v>25.219</v>
      </c>
      <c r="F993" s="100">
        <v>-2</v>
      </c>
      <c r="G993" s="100">
        <v>-19</v>
      </c>
      <c r="H993" s="100">
        <v>1</v>
      </c>
      <c r="I993" s="100">
        <v>-39</v>
      </c>
      <c r="K993" s="105">
        <v>44348</v>
      </c>
      <c r="L993" s="100">
        <v>26.251</v>
      </c>
      <c r="M993" s="106">
        <v>25.367</v>
      </c>
      <c r="N993" s="100">
        <v>3</v>
      </c>
      <c r="O993" s="100">
        <v>45</v>
      </c>
      <c r="P993" s="100">
        <v>66</v>
      </c>
      <c r="Q993" s="100">
        <v>25</v>
      </c>
      <c r="S993" s="105">
        <v>44348</v>
      </c>
      <c r="T993" s="106">
        <f t="shared" si="15"/>
        <v>-0.723000000000003</v>
      </c>
    </row>
    <row r="994" spans="3:20">
      <c r="C994" s="105">
        <v>44344</v>
      </c>
      <c r="D994" s="106">
        <v>24.6</v>
      </c>
      <c r="E994" s="100">
        <v>25.381</v>
      </c>
      <c r="F994" s="100">
        <v>-3</v>
      </c>
      <c r="G994" s="100">
        <v>-19</v>
      </c>
      <c r="H994" s="100">
        <v>1</v>
      </c>
      <c r="I994" s="100">
        <v>-39</v>
      </c>
      <c r="K994" s="105">
        <v>44344</v>
      </c>
      <c r="L994" s="100">
        <v>26.608</v>
      </c>
      <c r="M994" s="106">
        <v>25.556</v>
      </c>
      <c r="N994" s="100">
        <v>4</v>
      </c>
      <c r="O994" s="100">
        <v>45</v>
      </c>
      <c r="P994" s="100">
        <v>66</v>
      </c>
      <c r="Q994" s="100">
        <v>25</v>
      </c>
      <c r="S994" s="105">
        <v>44344</v>
      </c>
      <c r="T994" s="106">
        <f t="shared" si="15"/>
        <v>-0.956</v>
      </c>
    </row>
    <row r="995" spans="3:20">
      <c r="C995" s="105">
        <v>44343</v>
      </c>
      <c r="D995" s="106">
        <v>24.335</v>
      </c>
      <c r="E995" s="100">
        <v>25.166</v>
      </c>
      <c r="F995" s="100">
        <v>-3</v>
      </c>
      <c r="G995" s="100">
        <v>-19</v>
      </c>
      <c r="H995" s="100">
        <v>1</v>
      </c>
      <c r="I995" s="100">
        <v>-39</v>
      </c>
      <c r="K995" s="105">
        <v>44343</v>
      </c>
      <c r="L995" s="100">
        <v>25.841</v>
      </c>
      <c r="M995" s="106">
        <v>25.262</v>
      </c>
      <c r="N995" s="100">
        <v>2</v>
      </c>
      <c r="O995" s="100">
        <v>45</v>
      </c>
      <c r="P995" s="100">
        <v>66</v>
      </c>
      <c r="Q995" s="100">
        <v>25</v>
      </c>
      <c r="S995" s="105">
        <v>44343</v>
      </c>
      <c r="T995" s="106">
        <f t="shared" si="15"/>
        <v>-0.927</v>
      </c>
    </row>
    <row r="996" spans="3:20">
      <c r="C996" s="105">
        <v>44342</v>
      </c>
      <c r="D996" s="106">
        <v>24.239</v>
      </c>
      <c r="E996" s="100">
        <v>25.18</v>
      </c>
      <c r="F996" s="100">
        <v>-4</v>
      </c>
      <c r="G996" s="100">
        <v>-19</v>
      </c>
      <c r="H996" s="100">
        <v>1</v>
      </c>
      <c r="I996" s="100">
        <v>-39</v>
      </c>
      <c r="K996" s="105">
        <v>44342</v>
      </c>
      <c r="L996" s="100">
        <v>26.508</v>
      </c>
      <c r="M996" s="106">
        <v>25.37</v>
      </c>
      <c r="N996" s="100">
        <v>4</v>
      </c>
      <c r="O996" s="100">
        <v>45</v>
      </c>
      <c r="P996" s="100">
        <v>66</v>
      </c>
      <c r="Q996" s="100">
        <v>25</v>
      </c>
      <c r="S996" s="105">
        <v>44342</v>
      </c>
      <c r="T996" s="106">
        <f t="shared" si="15"/>
        <v>-1.131</v>
      </c>
    </row>
    <row r="997" spans="3:20">
      <c r="C997" s="105">
        <v>44341</v>
      </c>
      <c r="D997" s="106">
        <v>23.923</v>
      </c>
      <c r="E997" s="100">
        <v>25.245</v>
      </c>
      <c r="F997" s="100">
        <v>-5</v>
      </c>
      <c r="G997" s="100">
        <v>-19</v>
      </c>
      <c r="H997" s="100">
        <v>1</v>
      </c>
      <c r="I997" s="100">
        <v>-39</v>
      </c>
      <c r="K997" s="105">
        <v>44341</v>
      </c>
      <c r="L997" s="100">
        <v>26.634</v>
      </c>
      <c r="M997" s="106">
        <v>25.444</v>
      </c>
      <c r="N997" s="100">
        <v>5</v>
      </c>
      <c r="O997" s="100">
        <v>45</v>
      </c>
      <c r="P997" s="100">
        <v>66</v>
      </c>
      <c r="Q997" s="100">
        <v>25</v>
      </c>
      <c r="S997" s="105">
        <v>44341</v>
      </c>
      <c r="T997" s="106">
        <f t="shared" si="15"/>
        <v>-1.521</v>
      </c>
    </row>
    <row r="998" spans="3:20">
      <c r="C998" s="105">
        <v>44340</v>
      </c>
      <c r="D998" s="106">
        <v>23.831</v>
      </c>
      <c r="E998" s="100">
        <v>25.345</v>
      </c>
      <c r="F998" s="100">
        <v>-6</v>
      </c>
      <c r="G998" s="100">
        <v>-19</v>
      </c>
      <c r="H998" s="100">
        <v>1</v>
      </c>
      <c r="I998" s="100">
        <v>-39</v>
      </c>
      <c r="K998" s="105">
        <v>44340</v>
      </c>
      <c r="L998" s="100">
        <v>26.536</v>
      </c>
      <c r="M998" s="106">
        <v>25.515</v>
      </c>
      <c r="N998" s="100">
        <v>4</v>
      </c>
      <c r="O998" s="100">
        <v>45</v>
      </c>
      <c r="P998" s="100">
        <v>66</v>
      </c>
      <c r="Q998" s="100">
        <v>25</v>
      </c>
      <c r="S998" s="105">
        <v>44340</v>
      </c>
      <c r="T998" s="106">
        <f t="shared" si="15"/>
        <v>-1.684</v>
      </c>
    </row>
    <row r="999" spans="3:20">
      <c r="C999" s="105">
        <v>44337</v>
      </c>
      <c r="D999" s="106">
        <v>23.637</v>
      </c>
      <c r="E999" s="100">
        <v>25.235</v>
      </c>
      <c r="F999" s="100">
        <v>-6</v>
      </c>
      <c r="G999" s="100">
        <v>-19</v>
      </c>
      <c r="H999" s="100">
        <v>1</v>
      </c>
      <c r="I999" s="100">
        <v>-39</v>
      </c>
      <c r="K999" s="105">
        <v>44337</v>
      </c>
      <c r="L999" s="100">
        <v>26.445</v>
      </c>
      <c r="M999" s="106">
        <v>25.408</v>
      </c>
      <c r="N999" s="100">
        <v>4</v>
      </c>
      <c r="O999" s="100">
        <v>45</v>
      </c>
      <c r="P999" s="100">
        <v>66</v>
      </c>
      <c r="Q999" s="100">
        <v>25</v>
      </c>
      <c r="S999" s="105">
        <v>44337</v>
      </c>
      <c r="T999" s="106">
        <f t="shared" si="15"/>
        <v>-1.771</v>
      </c>
    </row>
    <row r="1000" spans="3:20">
      <c r="C1000" s="105">
        <v>44336</v>
      </c>
      <c r="D1000" s="106">
        <v>23.742</v>
      </c>
      <c r="E1000" s="100">
        <v>24.861</v>
      </c>
      <c r="F1000" s="100">
        <v>-5</v>
      </c>
      <c r="G1000" s="100">
        <v>-19</v>
      </c>
      <c r="H1000" s="100">
        <v>1</v>
      </c>
      <c r="I1000" s="100">
        <v>-39</v>
      </c>
      <c r="K1000" s="105">
        <v>44336</v>
      </c>
      <c r="L1000" s="100">
        <v>26.436</v>
      </c>
      <c r="M1000" s="106">
        <v>25.086</v>
      </c>
      <c r="N1000" s="100">
        <v>5</v>
      </c>
      <c r="O1000" s="100">
        <v>45</v>
      </c>
      <c r="P1000" s="100">
        <v>66</v>
      </c>
      <c r="Q1000" s="100">
        <v>25</v>
      </c>
      <c r="S1000" s="105">
        <v>44336</v>
      </c>
      <c r="T1000" s="106">
        <f t="shared" si="15"/>
        <v>-1.344</v>
      </c>
    </row>
    <row r="1001" spans="3:20">
      <c r="C1001" s="105">
        <v>44335</v>
      </c>
      <c r="D1001" s="106">
        <v>23.425</v>
      </c>
      <c r="E1001" s="100">
        <v>24.794</v>
      </c>
      <c r="F1001" s="100">
        <v>-6</v>
      </c>
      <c r="G1001" s="100">
        <v>-19</v>
      </c>
      <c r="H1001" s="100">
        <v>1</v>
      </c>
      <c r="I1001" s="100">
        <v>-39</v>
      </c>
      <c r="K1001" s="105">
        <v>44335</v>
      </c>
      <c r="L1001" s="100">
        <v>25.773</v>
      </c>
      <c r="M1001" s="106">
        <v>24.933</v>
      </c>
      <c r="N1001" s="100">
        <v>3</v>
      </c>
      <c r="O1001" s="100">
        <v>45</v>
      </c>
      <c r="P1001" s="100">
        <v>66</v>
      </c>
      <c r="Q1001" s="100">
        <v>25</v>
      </c>
      <c r="S1001" s="105">
        <v>44335</v>
      </c>
      <c r="T1001" s="106">
        <f t="shared" si="15"/>
        <v>-1.508</v>
      </c>
    </row>
    <row r="1002" spans="3:20">
      <c r="C1002" s="105">
        <v>44334</v>
      </c>
      <c r="D1002" s="106">
        <v>24.076</v>
      </c>
      <c r="E1002" s="100">
        <v>25.06</v>
      </c>
      <c r="F1002" s="100">
        <v>-4</v>
      </c>
      <c r="G1002" s="100">
        <v>-19</v>
      </c>
      <c r="H1002" s="100">
        <v>1</v>
      </c>
      <c r="I1002" s="100">
        <v>-39</v>
      </c>
      <c r="K1002" s="105">
        <v>44334</v>
      </c>
      <c r="L1002" s="100">
        <v>25.556</v>
      </c>
      <c r="M1002" s="106">
        <v>25.131</v>
      </c>
      <c r="N1002" s="100">
        <v>2</v>
      </c>
      <c r="O1002" s="100">
        <v>45</v>
      </c>
      <c r="P1002" s="100">
        <v>66</v>
      </c>
      <c r="Q1002" s="100">
        <v>25</v>
      </c>
      <c r="S1002" s="105">
        <v>44334</v>
      </c>
      <c r="T1002" s="106">
        <f t="shared" si="15"/>
        <v>-1.055</v>
      </c>
    </row>
    <row r="1003" spans="3:20">
      <c r="C1003" s="105">
        <v>44333</v>
      </c>
      <c r="D1003" s="106">
        <v>23.669</v>
      </c>
      <c r="E1003" s="100">
        <v>24.913</v>
      </c>
      <c r="F1003" s="100">
        <v>-5</v>
      </c>
      <c r="G1003" s="100">
        <v>-19</v>
      </c>
      <c r="H1003" s="100">
        <v>1</v>
      </c>
      <c r="I1003" s="100">
        <v>-39</v>
      </c>
      <c r="K1003" s="105">
        <v>44333</v>
      </c>
      <c r="L1003" s="100">
        <v>25.286</v>
      </c>
      <c r="M1003" s="106">
        <v>24.966</v>
      </c>
      <c r="N1003" s="100">
        <v>1</v>
      </c>
      <c r="O1003" s="100">
        <v>45</v>
      </c>
      <c r="P1003" s="100">
        <v>66</v>
      </c>
      <c r="Q1003" s="100">
        <v>25</v>
      </c>
      <c r="S1003" s="105">
        <v>44333</v>
      </c>
      <c r="T1003" s="106">
        <f t="shared" si="15"/>
        <v>-1.297</v>
      </c>
    </row>
    <row r="1004" spans="3:20">
      <c r="C1004" s="105">
        <v>44330</v>
      </c>
      <c r="D1004" s="106">
        <v>23.639</v>
      </c>
      <c r="E1004" s="100">
        <v>24.961</v>
      </c>
      <c r="F1004" s="100">
        <v>-5</v>
      </c>
      <c r="G1004" s="100">
        <v>-19</v>
      </c>
      <c r="H1004" s="100">
        <v>1</v>
      </c>
      <c r="I1004" s="100">
        <v>-39</v>
      </c>
      <c r="K1004" s="105">
        <v>44330</v>
      </c>
      <c r="L1004" s="100">
        <v>25.3</v>
      </c>
      <c r="M1004" s="106">
        <v>25.009</v>
      </c>
      <c r="N1004" s="100">
        <v>1</v>
      </c>
      <c r="O1004" s="100">
        <v>45</v>
      </c>
      <c r="P1004" s="100">
        <v>66</v>
      </c>
      <c r="Q1004" s="100">
        <v>25</v>
      </c>
      <c r="S1004" s="105">
        <v>44330</v>
      </c>
      <c r="T1004" s="106">
        <f t="shared" si="15"/>
        <v>-1.37</v>
      </c>
    </row>
    <row r="1005" spans="3:20">
      <c r="C1005" s="105">
        <v>44329</v>
      </c>
      <c r="D1005" s="106">
        <v>23.03</v>
      </c>
      <c r="E1005" s="100">
        <v>24.449</v>
      </c>
      <c r="F1005" s="100">
        <v>-6</v>
      </c>
      <c r="G1005" s="100">
        <v>-19</v>
      </c>
      <c r="H1005" s="100">
        <v>1</v>
      </c>
      <c r="I1005" s="100">
        <v>-39</v>
      </c>
      <c r="K1005" s="105">
        <v>44329</v>
      </c>
      <c r="L1005" s="100">
        <v>24.931</v>
      </c>
      <c r="M1005" s="106">
        <v>24.518</v>
      </c>
      <c r="N1005" s="100">
        <v>2</v>
      </c>
      <c r="O1005" s="100">
        <v>45</v>
      </c>
      <c r="P1005" s="100">
        <v>66</v>
      </c>
      <c r="Q1005" s="100">
        <v>25</v>
      </c>
      <c r="S1005" s="105">
        <v>44329</v>
      </c>
      <c r="T1005" s="106">
        <f t="shared" si="15"/>
        <v>-1.488</v>
      </c>
    </row>
    <row r="1006" spans="3:20">
      <c r="C1006" s="105">
        <v>44328</v>
      </c>
      <c r="D1006" s="106">
        <v>23.128</v>
      </c>
      <c r="E1006" s="100">
        <v>24.458</v>
      </c>
      <c r="F1006" s="100">
        <v>-5</v>
      </c>
      <c r="G1006" s="100">
        <v>-19</v>
      </c>
      <c r="H1006" s="100">
        <v>1</v>
      </c>
      <c r="I1006" s="100">
        <v>-39</v>
      </c>
      <c r="K1006" s="105">
        <v>44328</v>
      </c>
      <c r="L1006" s="100">
        <v>24.55</v>
      </c>
      <c r="M1006" s="106">
        <v>24.471</v>
      </c>
      <c r="N1006" s="100">
        <v>0</v>
      </c>
      <c r="O1006" s="100">
        <v>45</v>
      </c>
      <c r="P1006" s="100">
        <v>66</v>
      </c>
      <c r="Q1006" s="100">
        <v>25</v>
      </c>
      <c r="S1006" s="105">
        <v>44328</v>
      </c>
      <c r="T1006" s="106">
        <f t="shared" si="15"/>
        <v>-1.343</v>
      </c>
    </row>
    <row r="1007" spans="3:20">
      <c r="C1007" s="105">
        <v>44327</v>
      </c>
      <c r="D1007" s="106">
        <v>23.343</v>
      </c>
      <c r="E1007" s="100">
        <v>24.559</v>
      </c>
      <c r="F1007" s="100">
        <v>-5</v>
      </c>
      <c r="G1007" s="100">
        <v>-19</v>
      </c>
      <c r="H1007" s="100">
        <v>1</v>
      </c>
      <c r="I1007" s="100">
        <v>-39</v>
      </c>
      <c r="K1007" s="105">
        <v>44327</v>
      </c>
      <c r="L1007" s="100">
        <v>24.943</v>
      </c>
      <c r="M1007" s="106">
        <v>24.614</v>
      </c>
      <c r="N1007" s="100">
        <v>1</v>
      </c>
      <c r="O1007" s="100">
        <v>45</v>
      </c>
      <c r="P1007" s="100">
        <v>66</v>
      </c>
      <c r="Q1007" s="100">
        <v>25</v>
      </c>
      <c r="S1007" s="105">
        <v>44327</v>
      </c>
      <c r="T1007" s="106">
        <f t="shared" si="15"/>
        <v>-1.271</v>
      </c>
    </row>
    <row r="1008" spans="3:20">
      <c r="C1008" s="105">
        <v>44326</v>
      </c>
      <c r="D1008" s="106">
        <v>24.312</v>
      </c>
      <c r="E1008" s="100">
        <v>25.333</v>
      </c>
      <c r="F1008" s="100">
        <v>-4</v>
      </c>
      <c r="G1008" s="100">
        <v>-19</v>
      </c>
      <c r="H1008" s="100">
        <v>1</v>
      </c>
      <c r="I1008" s="100">
        <v>-39</v>
      </c>
      <c r="K1008" s="105">
        <v>44326</v>
      </c>
      <c r="L1008" s="100">
        <v>24.942</v>
      </c>
      <c r="M1008" s="106">
        <v>25.277</v>
      </c>
      <c r="N1008" s="100">
        <v>-1</v>
      </c>
      <c r="O1008" s="100">
        <v>45</v>
      </c>
      <c r="P1008" s="100">
        <v>66</v>
      </c>
      <c r="Q1008" s="100">
        <v>25</v>
      </c>
      <c r="S1008" s="105">
        <v>44326</v>
      </c>
      <c r="T1008" s="106">
        <f t="shared" si="15"/>
        <v>-0.965</v>
      </c>
    </row>
    <row r="1009" spans="3:20">
      <c r="C1009" s="105">
        <v>44323</v>
      </c>
      <c r="D1009" s="106">
        <v>24.49</v>
      </c>
      <c r="E1009" s="100">
        <v>25.343</v>
      </c>
      <c r="F1009" s="100">
        <v>-3</v>
      </c>
      <c r="G1009" s="100">
        <v>-19</v>
      </c>
      <c r="H1009" s="100">
        <v>1</v>
      </c>
      <c r="I1009" s="100">
        <v>-39</v>
      </c>
      <c r="K1009" s="105">
        <v>44323</v>
      </c>
      <c r="L1009" s="100">
        <v>25.257</v>
      </c>
      <c r="M1009" s="106">
        <v>25.331</v>
      </c>
      <c r="N1009" s="100">
        <v>0</v>
      </c>
      <c r="O1009" s="100">
        <v>45</v>
      </c>
      <c r="P1009" s="100">
        <v>66</v>
      </c>
      <c r="Q1009" s="100">
        <v>25</v>
      </c>
      <c r="S1009" s="105">
        <v>44323</v>
      </c>
      <c r="T1009" s="106">
        <f t="shared" si="15"/>
        <v>-0.841000000000001</v>
      </c>
    </row>
    <row r="1010" spans="3:20">
      <c r="C1010" s="105">
        <v>44322</v>
      </c>
      <c r="D1010" s="106">
        <v>24.054</v>
      </c>
      <c r="E1010" s="100">
        <v>25.071</v>
      </c>
      <c r="F1010" s="100">
        <v>-4</v>
      </c>
      <c r="G1010" s="100">
        <v>-19</v>
      </c>
      <c r="H1010" s="100">
        <v>1</v>
      </c>
      <c r="I1010" s="100">
        <v>-39</v>
      </c>
      <c r="K1010" s="105">
        <v>44322</v>
      </c>
      <c r="L1010" s="100">
        <v>25.015</v>
      </c>
      <c r="M1010" s="106">
        <v>25.063</v>
      </c>
      <c r="N1010" s="100">
        <v>0</v>
      </c>
      <c r="O1010" s="100">
        <v>45</v>
      </c>
      <c r="P1010" s="100">
        <v>66</v>
      </c>
      <c r="Q1010" s="100">
        <v>25</v>
      </c>
      <c r="S1010" s="105">
        <v>44322</v>
      </c>
      <c r="T1010" s="106">
        <f t="shared" si="15"/>
        <v>-1.009</v>
      </c>
    </row>
    <row r="1011" spans="3:20">
      <c r="C1011" s="105">
        <v>44321</v>
      </c>
      <c r="D1011" s="106">
        <v>24.239</v>
      </c>
      <c r="E1011" s="100">
        <v>24.952</v>
      </c>
      <c r="F1011" s="100">
        <v>-3</v>
      </c>
      <c r="G1011" s="100">
        <v>-19</v>
      </c>
      <c r="H1011" s="100">
        <v>1</v>
      </c>
      <c r="I1011" s="100">
        <v>-39</v>
      </c>
      <c r="K1011" s="105">
        <v>44321</v>
      </c>
      <c r="L1011" s="100">
        <v>25.499</v>
      </c>
      <c r="M1011" s="106">
        <v>25.03</v>
      </c>
      <c r="N1011" s="100">
        <v>2</v>
      </c>
      <c r="O1011" s="100">
        <v>45</v>
      </c>
      <c r="P1011" s="100">
        <v>66</v>
      </c>
      <c r="Q1011" s="100">
        <v>25</v>
      </c>
      <c r="S1011" s="105">
        <v>44321</v>
      </c>
      <c r="T1011" s="106">
        <f t="shared" si="15"/>
        <v>-0.791</v>
      </c>
    </row>
    <row r="1012" spans="3:20">
      <c r="C1012" s="105">
        <v>44320</v>
      </c>
      <c r="D1012" s="106">
        <v>24.099</v>
      </c>
      <c r="E1012" s="100">
        <v>24.651</v>
      </c>
      <c r="F1012" s="100">
        <v>-2</v>
      </c>
      <c r="G1012" s="100">
        <v>-19</v>
      </c>
      <c r="H1012" s="100">
        <v>1</v>
      </c>
      <c r="I1012" s="100">
        <v>-39</v>
      </c>
      <c r="K1012" s="105">
        <v>44320</v>
      </c>
      <c r="L1012" s="100">
        <v>25.164</v>
      </c>
      <c r="M1012" s="106">
        <v>24.724</v>
      </c>
      <c r="N1012" s="100">
        <v>2</v>
      </c>
      <c r="O1012" s="100">
        <v>45</v>
      </c>
      <c r="P1012" s="100">
        <v>66</v>
      </c>
      <c r="Q1012" s="100">
        <v>25</v>
      </c>
      <c r="S1012" s="105">
        <v>44320</v>
      </c>
      <c r="T1012" s="106">
        <f t="shared" si="15"/>
        <v>-0.625</v>
      </c>
    </row>
    <row r="1013" spans="3:20">
      <c r="C1013" s="105">
        <v>44316</v>
      </c>
      <c r="D1013" s="106">
        <v>24.511</v>
      </c>
      <c r="E1013" s="100">
        <v>24.586</v>
      </c>
      <c r="F1013" s="100">
        <v>0</v>
      </c>
      <c r="G1013" s="100">
        <v>-19</v>
      </c>
      <c r="H1013" s="100">
        <v>1</v>
      </c>
      <c r="I1013" s="100">
        <v>-39</v>
      </c>
      <c r="K1013" s="105">
        <v>44316</v>
      </c>
      <c r="L1013" s="100">
        <v>26.039</v>
      </c>
      <c r="M1013" s="106">
        <v>24.794</v>
      </c>
      <c r="N1013" s="100">
        <v>5</v>
      </c>
      <c r="O1013" s="100">
        <v>45</v>
      </c>
      <c r="P1013" s="100">
        <v>66</v>
      </c>
      <c r="Q1013" s="100">
        <v>25</v>
      </c>
      <c r="S1013" s="105">
        <v>44316</v>
      </c>
      <c r="T1013" s="106">
        <f t="shared" si="15"/>
        <v>-0.283000000000001</v>
      </c>
    </row>
    <row r="1014" spans="3:20">
      <c r="C1014" s="105">
        <v>44315</v>
      </c>
      <c r="D1014" s="106">
        <v>24.713</v>
      </c>
      <c r="E1014" s="100">
        <v>24.706</v>
      </c>
      <c r="F1014" s="100">
        <v>0</v>
      </c>
      <c r="G1014" s="100">
        <v>-19</v>
      </c>
      <c r="H1014" s="100">
        <v>1</v>
      </c>
      <c r="I1014" s="100">
        <v>-39</v>
      </c>
      <c r="K1014" s="105">
        <v>44315</v>
      </c>
      <c r="L1014" s="100">
        <v>26.283</v>
      </c>
      <c r="M1014" s="106">
        <v>24.931</v>
      </c>
      <c r="N1014" s="100">
        <v>5</v>
      </c>
      <c r="O1014" s="100">
        <v>45</v>
      </c>
      <c r="P1014" s="100">
        <v>66</v>
      </c>
      <c r="Q1014" s="100">
        <v>25</v>
      </c>
      <c r="S1014" s="105">
        <v>44315</v>
      </c>
      <c r="T1014" s="106">
        <f t="shared" si="15"/>
        <v>-0.218</v>
      </c>
    </row>
    <row r="1015" spans="3:20">
      <c r="C1015" s="105">
        <v>44314</v>
      </c>
      <c r="D1015" s="106">
        <v>24.514</v>
      </c>
      <c r="E1015" s="100">
        <v>24.61</v>
      </c>
      <c r="F1015" s="100">
        <v>0</v>
      </c>
      <c r="G1015" s="100">
        <v>-19</v>
      </c>
      <c r="H1015" s="100">
        <v>1</v>
      </c>
      <c r="I1015" s="100">
        <v>-39</v>
      </c>
      <c r="K1015" s="105">
        <v>44314</v>
      </c>
      <c r="L1015" s="100">
        <v>26.669</v>
      </c>
      <c r="M1015" s="106">
        <v>24.904</v>
      </c>
      <c r="N1015" s="100">
        <v>7</v>
      </c>
      <c r="O1015" s="100">
        <v>45</v>
      </c>
      <c r="P1015" s="100">
        <v>66</v>
      </c>
      <c r="Q1015" s="100">
        <v>25</v>
      </c>
      <c r="S1015" s="105">
        <v>44314</v>
      </c>
      <c r="T1015" s="106">
        <f t="shared" si="15"/>
        <v>-0.390000000000001</v>
      </c>
    </row>
    <row r="1016" spans="3:20">
      <c r="C1016" s="105">
        <v>44313</v>
      </c>
      <c r="D1016" s="106">
        <v>24.449</v>
      </c>
      <c r="E1016" s="100">
        <v>24.504</v>
      </c>
      <c r="F1016" s="100">
        <v>0</v>
      </c>
      <c r="G1016" s="100">
        <v>-19</v>
      </c>
      <c r="H1016" s="100">
        <v>1</v>
      </c>
      <c r="I1016" s="100">
        <v>-39</v>
      </c>
      <c r="K1016" s="105">
        <v>44313</v>
      </c>
      <c r="L1016" s="100">
        <v>25.92</v>
      </c>
      <c r="M1016" s="106">
        <v>24.706</v>
      </c>
      <c r="N1016" s="100">
        <v>5</v>
      </c>
      <c r="O1016" s="100">
        <v>45</v>
      </c>
      <c r="P1016" s="100">
        <v>66</v>
      </c>
      <c r="Q1016" s="100">
        <v>25</v>
      </c>
      <c r="S1016" s="105">
        <v>44313</v>
      </c>
      <c r="T1016" s="106">
        <f t="shared" si="15"/>
        <v>-0.256999999999998</v>
      </c>
    </row>
    <row r="1017" spans="3:20">
      <c r="C1017" s="105">
        <v>44312</v>
      </c>
      <c r="D1017" s="106">
        <v>24.581</v>
      </c>
      <c r="E1017" s="100">
        <v>24.782</v>
      </c>
      <c r="F1017" s="100">
        <v>-1</v>
      </c>
      <c r="G1017" s="100">
        <v>-19</v>
      </c>
      <c r="H1017" s="100">
        <v>1</v>
      </c>
      <c r="I1017" s="100">
        <v>-39</v>
      </c>
      <c r="K1017" s="105">
        <v>44312</v>
      </c>
      <c r="L1017" s="100">
        <v>26.376</v>
      </c>
      <c r="M1017" s="106">
        <v>25.01</v>
      </c>
      <c r="N1017" s="100">
        <v>5</v>
      </c>
      <c r="O1017" s="100">
        <v>45</v>
      </c>
      <c r="P1017" s="100">
        <v>66</v>
      </c>
      <c r="Q1017" s="100">
        <v>25</v>
      </c>
      <c r="S1017" s="105">
        <v>44312</v>
      </c>
      <c r="T1017" s="106">
        <f t="shared" si="15"/>
        <v>-0.429000000000002</v>
      </c>
    </row>
    <row r="1018" spans="3:20">
      <c r="C1018" s="105">
        <v>44309</v>
      </c>
      <c r="D1018" s="106">
        <v>24.355</v>
      </c>
      <c r="E1018" s="100">
        <v>24.662</v>
      </c>
      <c r="F1018" s="100">
        <v>-1</v>
      </c>
      <c r="G1018" s="100">
        <v>-19</v>
      </c>
      <c r="H1018" s="100">
        <v>1</v>
      </c>
      <c r="I1018" s="100">
        <v>-39</v>
      </c>
      <c r="K1018" s="105">
        <v>44309</v>
      </c>
      <c r="L1018" s="100">
        <v>27.129</v>
      </c>
      <c r="M1018" s="106">
        <v>25.015</v>
      </c>
      <c r="N1018" s="100">
        <v>8</v>
      </c>
      <c r="O1018" s="100">
        <v>45</v>
      </c>
      <c r="P1018" s="100">
        <v>66</v>
      </c>
      <c r="Q1018" s="100">
        <v>25</v>
      </c>
      <c r="S1018" s="105">
        <v>44309</v>
      </c>
      <c r="T1018" s="106">
        <f t="shared" si="15"/>
        <v>-0.66</v>
      </c>
    </row>
    <row r="1019" spans="3:20">
      <c r="C1019" s="105">
        <v>44308</v>
      </c>
      <c r="D1019" s="106">
        <v>24.74</v>
      </c>
      <c r="E1019" s="100">
        <v>24.734</v>
      </c>
      <c r="F1019" s="100">
        <v>0</v>
      </c>
      <c r="G1019" s="100">
        <v>-19</v>
      </c>
      <c r="H1019" s="100">
        <v>1</v>
      </c>
      <c r="I1019" s="100">
        <v>-39</v>
      </c>
      <c r="K1019" s="105">
        <v>44308</v>
      </c>
      <c r="L1019" s="100">
        <v>26.879</v>
      </c>
      <c r="M1019" s="106">
        <v>25.04</v>
      </c>
      <c r="N1019" s="100">
        <v>7</v>
      </c>
      <c r="O1019" s="100">
        <v>45</v>
      </c>
      <c r="P1019" s="100">
        <v>66</v>
      </c>
      <c r="Q1019" s="100">
        <v>25</v>
      </c>
      <c r="S1019" s="105">
        <v>44308</v>
      </c>
      <c r="T1019" s="106">
        <f t="shared" si="15"/>
        <v>-0.300000000000001</v>
      </c>
    </row>
    <row r="1020" spans="3:20">
      <c r="C1020" s="105">
        <v>44307</v>
      </c>
      <c r="D1020" s="106">
        <v>24.046</v>
      </c>
      <c r="E1020" s="100">
        <v>24.363</v>
      </c>
      <c r="F1020" s="100">
        <v>-1</v>
      </c>
      <c r="G1020" s="100">
        <v>-19</v>
      </c>
      <c r="H1020" s="100">
        <v>1</v>
      </c>
      <c r="I1020" s="100">
        <v>-39</v>
      </c>
      <c r="K1020" s="105">
        <v>44307</v>
      </c>
      <c r="L1020" s="100">
        <v>26.685</v>
      </c>
      <c r="M1020" s="106">
        <v>24.695</v>
      </c>
      <c r="N1020" s="100">
        <v>8</v>
      </c>
      <c r="O1020" s="100">
        <v>45</v>
      </c>
      <c r="P1020" s="100">
        <v>66</v>
      </c>
      <c r="Q1020" s="100">
        <v>25</v>
      </c>
      <c r="S1020" s="105">
        <v>44307</v>
      </c>
      <c r="T1020" s="106">
        <f t="shared" si="15"/>
        <v>-0.649000000000001</v>
      </c>
    </row>
    <row r="1021" spans="3:20">
      <c r="C1021" s="105">
        <v>44306</v>
      </c>
      <c r="D1021" s="106">
        <v>23.658</v>
      </c>
      <c r="E1021" s="100">
        <v>23.687</v>
      </c>
      <c r="F1021" s="100">
        <v>0</v>
      </c>
      <c r="G1021" s="100">
        <v>-19</v>
      </c>
      <c r="H1021" s="100">
        <v>1</v>
      </c>
      <c r="I1021" s="100">
        <v>-39</v>
      </c>
      <c r="K1021" s="105">
        <v>44306</v>
      </c>
      <c r="L1021" s="100">
        <v>26.838</v>
      </c>
      <c r="M1021" s="106">
        <v>24.137</v>
      </c>
      <c r="N1021" s="100">
        <v>11</v>
      </c>
      <c r="O1021" s="100">
        <v>45</v>
      </c>
      <c r="P1021" s="100">
        <v>66</v>
      </c>
      <c r="Q1021" s="100">
        <v>25</v>
      </c>
      <c r="S1021" s="105">
        <v>44306</v>
      </c>
      <c r="T1021" s="106">
        <f t="shared" si="15"/>
        <v>-0.478999999999999</v>
      </c>
    </row>
    <row r="1022" spans="3:20">
      <c r="C1022" s="105">
        <v>44305</v>
      </c>
      <c r="D1022" s="106">
        <v>24.538</v>
      </c>
      <c r="E1022" s="100">
        <v>24.78</v>
      </c>
      <c r="F1022" s="100">
        <v>-1</v>
      </c>
      <c r="G1022" s="100">
        <v>-19</v>
      </c>
      <c r="H1022" s="100">
        <v>1</v>
      </c>
      <c r="I1022" s="100">
        <v>-39</v>
      </c>
      <c r="K1022" s="105">
        <v>44305</v>
      </c>
      <c r="L1022" s="100">
        <v>26.971</v>
      </c>
      <c r="M1022" s="106">
        <v>25.093</v>
      </c>
      <c r="N1022" s="100">
        <v>7</v>
      </c>
      <c r="O1022" s="100">
        <v>45</v>
      </c>
      <c r="P1022" s="100">
        <v>66</v>
      </c>
      <c r="Q1022" s="100">
        <v>25</v>
      </c>
      <c r="S1022" s="105">
        <v>44305</v>
      </c>
      <c r="T1022" s="106">
        <f t="shared" si="15"/>
        <v>-0.555</v>
      </c>
    </row>
    <row r="1023" spans="3:20">
      <c r="C1023" s="105">
        <v>44302</v>
      </c>
      <c r="D1023" s="106">
        <v>25.015</v>
      </c>
      <c r="E1023" s="100">
        <v>24.912</v>
      </c>
      <c r="F1023" s="100">
        <v>0</v>
      </c>
      <c r="G1023" s="100">
        <v>-19</v>
      </c>
      <c r="H1023" s="100">
        <v>1</v>
      </c>
      <c r="I1023" s="100">
        <v>-39</v>
      </c>
      <c r="K1023" s="105">
        <v>44302</v>
      </c>
      <c r="L1023" s="100">
        <v>27.11</v>
      </c>
      <c r="M1023" s="106">
        <v>25.226</v>
      </c>
      <c r="N1023" s="100">
        <v>7</v>
      </c>
      <c r="O1023" s="100">
        <v>45</v>
      </c>
      <c r="P1023" s="100">
        <v>66</v>
      </c>
      <c r="Q1023" s="100">
        <v>25</v>
      </c>
      <c r="S1023" s="105">
        <v>44302</v>
      </c>
      <c r="T1023" s="106">
        <f t="shared" si="15"/>
        <v>-0.210999999999999</v>
      </c>
    </row>
    <row r="1024" spans="3:20">
      <c r="C1024" s="105">
        <v>44301</v>
      </c>
      <c r="D1024" s="106">
        <v>24.53</v>
      </c>
      <c r="E1024" s="100">
        <v>24.572</v>
      </c>
      <c r="F1024" s="100">
        <v>0</v>
      </c>
      <c r="G1024" s="100">
        <v>-19</v>
      </c>
      <c r="H1024" s="100">
        <v>1</v>
      </c>
      <c r="I1024" s="100">
        <v>-39</v>
      </c>
      <c r="K1024" s="105">
        <v>44301</v>
      </c>
      <c r="L1024" s="100">
        <v>29.065</v>
      </c>
      <c r="M1024" s="106">
        <v>25.214</v>
      </c>
      <c r="N1024" s="100">
        <v>15</v>
      </c>
      <c r="O1024" s="100">
        <v>45</v>
      </c>
      <c r="P1024" s="100">
        <v>66</v>
      </c>
      <c r="Q1024" s="100">
        <v>25</v>
      </c>
      <c r="S1024" s="105">
        <v>44301</v>
      </c>
      <c r="T1024" s="106">
        <f t="shared" si="15"/>
        <v>-0.683999999999997</v>
      </c>
    </row>
    <row r="1025" spans="3:20">
      <c r="C1025" s="105">
        <v>44300</v>
      </c>
      <c r="D1025" s="106">
        <v>25.072</v>
      </c>
      <c r="E1025" s="100">
        <v>24.581</v>
      </c>
      <c r="F1025" s="100">
        <v>2</v>
      </c>
      <c r="G1025" s="100">
        <v>-19</v>
      </c>
      <c r="H1025" s="100">
        <v>1</v>
      </c>
      <c r="I1025" s="100">
        <v>-39</v>
      </c>
      <c r="K1025" s="105">
        <v>44300</v>
      </c>
      <c r="L1025" s="100">
        <v>28.542</v>
      </c>
      <c r="M1025" s="106">
        <v>25.147</v>
      </c>
      <c r="N1025" s="100">
        <v>14</v>
      </c>
      <c r="O1025" s="100">
        <v>45</v>
      </c>
      <c r="P1025" s="100">
        <v>66</v>
      </c>
      <c r="Q1025" s="100">
        <v>25</v>
      </c>
      <c r="S1025" s="105">
        <v>44300</v>
      </c>
      <c r="T1025" s="106">
        <f t="shared" si="15"/>
        <v>-0.0749999999999993</v>
      </c>
    </row>
    <row r="1026" spans="3:20">
      <c r="C1026" s="105">
        <v>44299</v>
      </c>
      <c r="D1026" s="106">
        <v>25.363</v>
      </c>
      <c r="E1026" s="100">
        <v>24.602</v>
      </c>
      <c r="F1026" s="100">
        <v>3</v>
      </c>
      <c r="G1026" s="100">
        <v>-19</v>
      </c>
      <c r="H1026" s="100">
        <v>1</v>
      </c>
      <c r="I1026" s="100">
        <v>-39</v>
      </c>
      <c r="K1026" s="105">
        <v>44299</v>
      </c>
      <c r="L1026" s="100">
        <v>28.071</v>
      </c>
      <c r="M1026" s="106">
        <v>25.097</v>
      </c>
      <c r="N1026" s="100">
        <v>12</v>
      </c>
      <c r="O1026" s="100">
        <v>45</v>
      </c>
      <c r="P1026" s="100">
        <v>66</v>
      </c>
      <c r="Q1026" s="100">
        <v>25</v>
      </c>
      <c r="S1026" s="105">
        <v>44299</v>
      </c>
      <c r="T1026" s="106">
        <f t="shared" si="15"/>
        <v>0.265999999999998</v>
      </c>
    </row>
    <row r="1027" spans="3:20">
      <c r="C1027" s="105">
        <v>44298</v>
      </c>
      <c r="D1027" s="106">
        <v>24.854</v>
      </c>
      <c r="E1027" s="100">
        <v>24.313</v>
      </c>
      <c r="F1027" s="100">
        <v>2</v>
      </c>
      <c r="G1027" s="100">
        <v>-19</v>
      </c>
      <c r="H1027" s="100">
        <v>1</v>
      </c>
      <c r="I1027" s="100">
        <v>-39</v>
      </c>
      <c r="K1027" s="105">
        <v>44298</v>
      </c>
      <c r="L1027" s="100">
        <v>27.635</v>
      </c>
      <c r="M1027" s="106">
        <v>24.788</v>
      </c>
      <c r="N1027" s="100">
        <v>11</v>
      </c>
      <c r="O1027" s="100">
        <v>45</v>
      </c>
      <c r="P1027" s="100">
        <v>66</v>
      </c>
      <c r="Q1027" s="100">
        <v>25</v>
      </c>
      <c r="S1027" s="105">
        <v>44298</v>
      </c>
      <c r="T1027" s="106">
        <f t="shared" si="15"/>
        <v>0.0659999999999989</v>
      </c>
    </row>
    <row r="1028" spans="3:20">
      <c r="C1028" s="105">
        <v>44295</v>
      </c>
      <c r="D1028" s="106">
        <v>24.989</v>
      </c>
      <c r="E1028" s="100">
        <v>24.491</v>
      </c>
      <c r="F1028" s="100">
        <v>2</v>
      </c>
      <c r="G1028" s="100">
        <v>-19</v>
      </c>
      <c r="H1028" s="100">
        <v>1</v>
      </c>
      <c r="I1028" s="100">
        <v>-39</v>
      </c>
      <c r="K1028" s="105">
        <v>44295</v>
      </c>
      <c r="L1028" s="100">
        <v>27.62</v>
      </c>
      <c r="M1028" s="106">
        <v>24.938</v>
      </c>
      <c r="N1028" s="100">
        <v>11</v>
      </c>
      <c r="O1028" s="100">
        <v>45</v>
      </c>
      <c r="P1028" s="100">
        <v>66</v>
      </c>
      <c r="Q1028" s="100">
        <v>25</v>
      </c>
      <c r="S1028" s="105">
        <v>44295</v>
      </c>
      <c r="T1028" s="106">
        <f t="shared" si="15"/>
        <v>0.0510000000000019</v>
      </c>
    </row>
    <row r="1029" spans="3:20">
      <c r="C1029" s="105">
        <v>44294</v>
      </c>
      <c r="D1029" s="106">
        <v>23.778</v>
      </c>
      <c r="E1029" s="100">
        <v>24.07</v>
      </c>
      <c r="F1029" s="100">
        <v>-1</v>
      </c>
      <c r="G1029" s="100">
        <v>-19</v>
      </c>
      <c r="H1029" s="100">
        <v>1</v>
      </c>
      <c r="I1029" s="100">
        <v>-39</v>
      </c>
      <c r="K1029" s="105">
        <v>44294</v>
      </c>
      <c r="L1029" s="100">
        <v>27.299</v>
      </c>
      <c r="M1029" s="106">
        <v>24.531</v>
      </c>
      <c r="N1029" s="100">
        <v>11</v>
      </c>
      <c r="O1029" s="100">
        <v>45</v>
      </c>
      <c r="P1029" s="100">
        <v>66</v>
      </c>
      <c r="Q1029" s="100">
        <v>25</v>
      </c>
      <c r="S1029" s="105">
        <v>44294</v>
      </c>
      <c r="T1029" s="106">
        <f t="shared" si="15"/>
        <v>-0.753</v>
      </c>
    </row>
    <row r="1030" spans="3:20">
      <c r="C1030" s="105">
        <v>44293</v>
      </c>
      <c r="D1030" s="106">
        <v>23.566</v>
      </c>
      <c r="E1030" s="100">
        <v>24.107</v>
      </c>
      <c r="F1030" s="100">
        <v>-2</v>
      </c>
      <c r="G1030" s="100">
        <v>-19</v>
      </c>
      <c r="H1030" s="100">
        <v>1</v>
      </c>
      <c r="I1030" s="100">
        <v>-39</v>
      </c>
      <c r="K1030" s="105">
        <v>44293</v>
      </c>
      <c r="L1030" s="100">
        <v>26.899</v>
      </c>
      <c r="M1030" s="106">
        <v>24.506</v>
      </c>
      <c r="N1030" s="100">
        <v>10</v>
      </c>
      <c r="O1030" s="100">
        <v>45</v>
      </c>
      <c r="P1030" s="100">
        <v>66</v>
      </c>
      <c r="Q1030" s="100">
        <v>25</v>
      </c>
      <c r="S1030" s="105">
        <v>44293</v>
      </c>
      <c r="T1030" s="106">
        <f t="shared" si="15"/>
        <v>-0.940000000000001</v>
      </c>
    </row>
    <row r="1031" spans="3:20">
      <c r="C1031" s="105">
        <v>44292</v>
      </c>
      <c r="D1031" s="106">
        <v>23.287</v>
      </c>
      <c r="E1031" s="100">
        <v>24.123</v>
      </c>
      <c r="F1031" s="100">
        <v>-3</v>
      </c>
      <c r="G1031" s="100">
        <v>-19</v>
      </c>
      <c r="H1031" s="100">
        <v>1</v>
      </c>
      <c r="I1031" s="100">
        <v>-39</v>
      </c>
      <c r="K1031" s="105">
        <v>44292</v>
      </c>
      <c r="L1031" s="100">
        <v>27.329</v>
      </c>
      <c r="M1031" s="106">
        <v>24.581</v>
      </c>
      <c r="N1031" s="100">
        <v>11</v>
      </c>
      <c r="O1031" s="100">
        <v>45</v>
      </c>
      <c r="P1031" s="100">
        <v>66</v>
      </c>
      <c r="Q1031" s="100">
        <v>25</v>
      </c>
      <c r="S1031" s="105">
        <v>44292</v>
      </c>
      <c r="T1031" s="106">
        <f t="shared" si="15"/>
        <v>-1.294</v>
      </c>
    </row>
    <row r="1032" spans="3:20">
      <c r="C1032" s="105">
        <v>44287</v>
      </c>
      <c r="D1032" s="106">
        <v>23.277</v>
      </c>
      <c r="E1032" s="100">
        <v>23.991</v>
      </c>
      <c r="F1032" s="100">
        <v>-3</v>
      </c>
      <c r="G1032" s="100">
        <v>-19</v>
      </c>
      <c r="H1032" s="100">
        <v>1</v>
      </c>
      <c r="I1032" s="100">
        <v>-39</v>
      </c>
      <c r="K1032" s="105">
        <v>44287</v>
      </c>
      <c r="L1032" s="100">
        <v>26.448</v>
      </c>
      <c r="M1032" s="106">
        <v>24.342</v>
      </c>
      <c r="N1032" s="100">
        <v>9</v>
      </c>
      <c r="O1032" s="100">
        <v>45</v>
      </c>
      <c r="P1032" s="100">
        <v>66</v>
      </c>
      <c r="Q1032" s="100">
        <v>25</v>
      </c>
      <c r="S1032" s="105">
        <v>44287</v>
      </c>
      <c r="T1032" s="106">
        <f t="shared" si="15"/>
        <v>-1.065</v>
      </c>
    </row>
    <row r="1033" spans="3:20">
      <c r="C1033" s="105">
        <v>44286</v>
      </c>
      <c r="D1033" s="106">
        <v>22.602</v>
      </c>
      <c r="E1033" s="100">
        <v>23.693</v>
      </c>
      <c r="F1033" s="100">
        <v>-5</v>
      </c>
      <c r="G1033" s="100">
        <v>-19</v>
      </c>
      <c r="H1033" s="100">
        <v>1</v>
      </c>
      <c r="I1033" s="100">
        <v>-39</v>
      </c>
      <c r="K1033" s="105">
        <v>44286</v>
      </c>
      <c r="L1033" s="100">
        <v>25.537</v>
      </c>
      <c r="M1033" s="106">
        <v>23.956</v>
      </c>
      <c r="N1033" s="100">
        <v>7</v>
      </c>
      <c r="O1033" s="100">
        <v>45</v>
      </c>
      <c r="P1033" s="100">
        <v>66</v>
      </c>
      <c r="Q1033" s="100">
        <v>25</v>
      </c>
      <c r="S1033" s="105">
        <v>44286</v>
      </c>
      <c r="T1033" s="106">
        <f t="shared" si="15"/>
        <v>-1.354</v>
      </c>
    </row>
    <row r="1034" spans="3:20">
      <c r="C1034" s="105">
        <v>44285</v>
      </c>
      <c r="D1034" s="106">
        <v>22.909</v>
      </c>
      <c r="E1034" s="100">
        <v>24.042</v>
      </c>
      <c r="F1034" s="100">
        <v>-5</v>
      </c>
      <c r="G1034" s="100">
        <v>-19</v>
      </c>
      <c r="H1034" s="100">
        <v>1</v>
      </c>
      <c r="I1034" s="100">
        <v>-39</v>
      </c>
      <c r="K1034" s="105">
        <v>44285</v>
      </c>
      <c r="L1034" s="100">
        <v>24.236</v>
      </c>
      <c r="M1034" s="106">
        <v>24.07</v>
      </c>
      <c r="N1034" s="100">
        <v>1</v>
      </c>
      <c r="O1034" s="100">
        <v>45</v>
      </c>
      <c r="P1034" s="100">
        <v>66</v>
      </c>
      <c r="Q1034" s="100">
        <v>25</v>
      </c>
      <c r="S1034" s="105">
        <v>44285</v>
      </c>
      <c r="T1034" s="106">
        <f t="shared" si="15"/>
        <v>-1.161</v>
      </c>
    </row>
    <row r="1035" spans="3:20">
      <c r="C1035" s="105">
        <v>44284</v>
      </c>
      <c r="D1035" s="106">
        <v>22.541</v>
      </c>
      <c r="E1035" s="100">
        <v>23.673</v>
      </c>
      <c r="F1035" s="100">
        <v>-5</v>
      </c>
      <c r="G1035" s="100">
        <v>-19</v>
      </c>
      <c r="H1035" s="100">
        <v>1</v>
      </c>
      <c r="I1035" s="100">
        <v>-39</v>
      </c>
      <c r="K1035" s="105">
        <v>44284</v>
      </c>
      <c r="L1035" s="100">
        <v>24.42</v>
      </c>
      <c r="M1035" s="106">
        <v>23.779</v>
      </c>
      <c r="N1035" s="100">
        <v>3</v>
      </c>
      <c r="O1035" s="100">
        <v>45</v>
      </c>
      <c r="P1035" s="100">
        <v>66</v>
      </c>
      <c r="Q1035" s="100">
        <v>25</v>
      </c>
      <c r="S1035" s="105">
        <v>44284</v>
      </c>
      <c r="T1035" s="106">
        <f t="shared" si="15"/>
        <v>-1.238</v>
      </c>
    </row>
    <row r="1036" spans="3:20">
      <c r="C1036" s="105">
        <v>44281</v>
      </c>
      <c r="D1036" s="106">
        <v>22.795</v>
      </c>
      <c r="E1036" s="100">
        <v>24.031</v>
      </c>
      <c r="F1036" s="100">
        <v>-5</v>
      </c>
      <c r="G1036" s="100">
        <v>-19</v>
      </c>
      <c r="H1036" s="100">
        <v>1</v>
      </c>
      <c r="I1036" s="100">
        <v>-39</v>
      </c>
      <c r="K1036" s="105">
        <v>44281</v>
      </c>
      <c r="L1036" s="100">
        <v>24.902</v>
      </c>
      <c r="M1036" s="106">
        <v>24.155</v>
      </c>
      <c r="N1036" s="100">
        <v>3</v>
      </c>
      <c r="O1036" s="100">
        <v>45</v>
      </c>
      <c r="P1036" s="100">
        <v>66</v>
      </c>
      <c r="Q1036" s="100">
        <v>25</v>
      </c>
      <c r="S1036" s="105">
        <v>44281</v>
      </c>
      <c r="T1036" s="106">
        <f t="shared" si="15"/>
        <v>-1.36</v>
      </c>
    </row>
    <row r="1037" spans="3:20">
      <c r="C1037" s="105">
        <v>44280</v>
      </c>
      <c r="D1037" s="106">
        <v>22.496</v>
      </c>
      <c r="E1037" s="100">
        <v>23.823</v>
      </c>
      <c r="F1037" s="100">
        <v>-6</v>
      </c>
      <c r="G1037" s="100">
        <v>-19</v>
      </c>
      <c r="H1037" s="100">
        <v>1</v>
      </c>
      <c r="I1037" s="100">
        <v>-39</v>
      </c>
      <c r="K1037" s="105">
        <v>44280</v>
      </c>
      <c r="L1037" s="100">
        <v>24.744</v>
      </c>
      <c r="M1037" s="106">
        <v>23.954</v>
      </c>
      <c r="N1037" s="100">
        <v>3</v>
      </c>
      <c r="O1037" s="100">
        <v>45</v>
      </c>
      <c r="P1037" s="100">
        <v>66</v>
      </c>
      <c r="Q1037" s="100">
        <v>25</v>
      </c>
      <c r="S1037" s="105">
        <v>44280</v>
      </c>
      <c r="T1037" s="106">
        <f t="shared" si="15"/>
        <v>-1.458</v>
      </c>
    </row>
    <row r="1038" spans="3:20">
      <c r="C1038" s="105">
        <v>44279</v>
      </c>
      <c r="D1038" s="106">
        <v>22.528</v>
      </c>
      <c r="E1038" s="100">
        <v>24.045</v>
      </c>
      <c r="F1038" s="100">
        <v>-6</v>
      </c>
      <c r="G1038" s="100">
        <v>-19</v>
      </c>
      <c r="H1038" s="100">
        <v>1</v>
      </c>
      <c r="I1038" s="100">
        <v>-39</v>
      </c>
      <c r="K1038" s="105">
        <v>44279</v>
      </c>
      <c r="L1038" s="100">
        <v>24.818</v>
      </c>
      <c r="M1038" s="106">
        <v>24.155</v>
      </c>
      <c r="N1038" s="100">
        <v>3</v>
      </c>
      <c r="O1038" s="100">
        <v>45</v>
      </c>
      <c r="P1038" s="100">
        <v>66</v>
      </c>
      <c r="Q1038" s="100">
        <v>25</v>
      </c>
      <c r="S1038" s="105">
        <v>44279</v>
      </c>
      <c r="T1038" s="106">
        <f t="shared" si="15"/>
        <v>-1.627</v>
      </c>
    </row>
    <row r="1039" spans="3:20">
      <c r="C1039" s="105">
        <v>44278</v>
      </c>
      <c r="D1039" s="106">
        <v>22.356</v>
      </c>
      <c r="E1039" s="100">
        <v>24.178</v>
      </c>
      <c r="F1039" s="100">
        <v>-8</v>
      </c>
      <c r="G1039" s="100">
        <v>-19</v>
      </c>
      <c r="H1039" s="100">
        <v>1</v>
      </c>
      <c r="I1039" s="100">
        <v>-39</v>
      </c>
      <c r="K1039" s="105">
        <v>44278</v>
      </c>
      <c r="L1039" s="100">
        <v>25.35</v>
      </c>
      <c r="M1039" s="106">
        <v>24.346</v>
      </c>
      <c r="N1039" s="100">
        <v>4</v>
      </c>
      <c r="O1039" s="100">
        <v>45</v>
      </c>
      <c r="P1039" s="100">
        <v>66</v>
      </c>
      <c r="Q1039" s="100">
        <v>25</v>
      </c>
      <c r="S1039" s="105">
        <v>44278</v>
      </c>
      <c r="T1039" s="106">
        <f t="shared" si="15"/>
        <v>-1.99</v>
      </c>
    </row>
    <row r="1040" spans="3:20">
      <c r="C1040" s="105">
        <v>44277</v>
      </c>
      <c r="D1040" s="106">
        <v>23.117</v>
      </c>
      <c r="E1040" s="100">
        <v>24.493</v>
      </c>
      <c r="F1040" s="100">
        <v>-6</v>
      </c>
      <c r="G1040" s="100">
        <v>-19</v>
      </c>
      <c r="H1040" s="100">
        <v>1</v>
      </c>
      <c r="I1040" s="100">
        <v>-39</v>
      </c>
      <c r="K1040" s="105">
        <v>44277</v>
      </c>
      <c r="L1040" s="100">
        <v>25.327</v>
      </c>
      <c r="M1040" s="106">
        <v>24.612</v>
      </c>
      <c r="N1040" s="100">
        <v>3</v>
      </c>
      <c r="O1040" s="100">
        <v>45</v>
      </c>
      <c r="P1040" s="100">
        <v>66</v>
      </c>
      <c r="Q1040" s="100">
        <v>25</v>
      </c>
      <c r="S1040" s="105">
        <v>44277</v>
      </c>
      <c r="T1040" s="106">
        <f t="shared" si="15"/>
        <v>-1.495</v>
      </c>
    </row>
    <row r="1041" spans="3:20">
      <c r="C1041" s="105">
        <v>44274</v>
      </c>
      <c r="D1041" s="106">
        <v>23.357</v>
      </c>
      <c r="E1041" s="100">
        <v>24.821</v>
      </c>
      <c r="F1041" s="100">
        <v>-6</v>
      </c>
      <c r="G1041" s="100">
        <v>-19</v>
      </c>
      <c r="H1041" s="100">
        <v>1</v>
      </c>
      <c r="I1041" s="100">
        <v>-39</v>
      </c>
      <c r="K1041" s="105">
        <v>44274</v>
      </c>
      <c r="L1041" s="100">
        <v>25.236</v>
      </c>
      <c r="M1041" s="106">
        <v>24.88</v>
      </c>
      <c r="N1041" s="100">
        <v>1</v>
      </c>
      <c r="O1041" s="100">
        <v>45</v>
      </c>
      <c r="P1041" s="100">
        <v>66</v>
      </c>
      <c r="Q1041" s="100">
        <v>25</v>
      </c>
      <c r="S1041" s="105">
        <v>44274</v>
      </c>
      <c r="T1041" s="106">
        <f t="shared" si="15"/>
        <v>-1.523</v>
      </c>
    </row>
    <row r="1042" spans="3:20">
      <c r="C1042" s="105">
        <v>44273</v>
      </c>
      <c r="D1042" s="106">
        <v>23.775</v>
      </c>
      <c r="E1042" s="100">
        <v>24.987</v>
      </c>
      <c r="F1042" s="100">
        <v>-5</v>
      </c>
      <c r="G1042" s="100">
        <v>-19</v>
      </c>
      <c r="H1042" s="100">
        <v>1</v>
      </c>
      <c r="I1042" s="100">
        <v>-39</v>
      </c>
      <c r="K1042" s="105">
        <v>44273</v>
      </c>
      <c r="L1042" s="100">
        <v>25.958</v>
      </c>
      <c r="M1042" s="106">
        <v>25.125</v>
      </c>
      <c r="N1042" s="100">
        <v>3</v>
      </c>
      <c r="O1042" s="100">
        <v>45</v>
      </c>
      <c r="P1042" s="100">
        <v>66</v>
      </c>
      <c r="Q1042" s="100">
        <v>25</v>
      </c>
      <c r="S1042" s="105">
        <v>44273</v>
      </c>
      <c r="T1042" s="106">
        <f t="shared" si="15"/>
        <v>-1.35</v>
      </c>
    </row>
    <row r="1043" spans="3:20">
      <c r="C1043" s="105">
        <v>44272</v>
      </c>
      <c r="D1043" s="106">
        <v>23.792</v>
      </c>
      <c r="E1043" s="100">
        <v>25.199</v>
      </c>
      <c r="F1043" s="100">
        <v>-6</v>
      </c>
      <c r="G1043" s="100">
        <v>-19</v>
      </c>
      <c r="H1043" s="100">
        <v>1</v>
      </c>
      <c r="I1043" s="100">
        <v>-39</v>
      </c>
      <c r="K1043" s="105">
        <v>44272</v>
      </c>
      <c r="L1043" s="100">
        <v>25.376</v>
      </c>
      <c r="M1043" s="106">
        <v>25.224</v>
      </c>
      <c r="N1043" s="100">
        <v>1</v>
      </c>
      <c r="O1043" s="100">
        <v>45</v>
      </c>
      <c r="P1043" s="100">
        <v>66</v>
      </c>
      <c r="Q1043" s="100">
        <v>25</v>
      </c>
      <c r="S1043" s="105">
        <v>44272</v>
      </c>
      <c r="T1043" s="106">
        <f t="shared" si="15"/>
        <v>-1.432</v>
      </c>
    </row>
    <row r="1044" spans="3:20">
      <c r="C1044" s="105">
        <v>44271</v>
      </c>
      <c r="D1044" s="106">
        <v>23.693</v>
      </c>
      <c r="E1044" s="100">
        <v>25.354</v>
      </c>
      <c r="F1044" s="100">
        <v>-7</v>
      </c>
      <c r="G1044" s="100">
        <v>-19</v>
      </c>
      <c r="H1044" s="100">
        <v>1</v>
      </c>
      <c r="I1044" s="100">
        <v>-39</v>
      </c>
      <c r="K1044" s="105">
        <v>44271</v>
      </c>
      <c r="L1044" s="100">
        <v>26.428</v>
      </c>
      <c r="M1044" s="106">
        <v>25.507</v>
      </c>
      <c r="N1044" s="100">
        <v>4</v>
      </c>
      <c r="O1044" s="100">
        <v>45</v>
      </c>
      <c r="P1044" s="100">
        <v>66</v>
      </c>
      <c r="Q1044" s="100">
        <v>25</v>
      </c>
      <c r="S1044" s="105">
        <v>44271</v>
      </c>
      <c r="T1044" s="106">
        <f t="shared" si="15"/>
        <v>-1.814</v>
      </c>
    </row>
    <row r="1045" spans="3:20">
      <c r="C1045" s="105">
        <v>44270</v>
      </c>
      <c r="D1045" s="106">
        <v>23.183</v>
      </c>
      <c r="E1045" s="100">
        <v>25.11</v>
      </c>
      <c r="F1045" s="100">
        <v>-8</v>
      </c>
      <c r="G1045" s="100">
        <v>-19</v>
      </c>
      <c r="H1045" s="100">
        <v>1</v>
      </c>
      <c r="I1045" s="100">
        <v>-39</v>
      </c>
      <c r="K1045" s="105">
        <v>44270</v>
      </c>
      <c r="L1045" s="100">
        <v>26.328</v>
      </c>
      <c r="M1045" s="106">
        <v>25.284</v>
      </c>
      <c r="N1045" s="100">
        <v>4</v>
      </c>
      <c r="O1045" s="100">
        <v>45</v>
      </c>
      <c r="P1045" s="100">
        <v>66</v>
      </c>
      <c r="Q1045" s="100">
        <v>25</v>
      </c>
      <c r="S1045" s="105">
        <v>44270</v>
      </c>
      <c r="T1045" s="106">
        <f t="shared" si="15"/>
        <v>-2.101</v>
      </c>
    </row>
    <row r="1046" spans="3:20">
      <c r="C1046" s="105">
        <v>44267</v>
      </c>
      <c r="D1046" s="106">
        <v>23.22</v>
      </c>
      <c r="E1046" s="100">
        <v>24.954</v>
      </c>
      <c r="F1046" s="100">
        <v>-7</v>
      </c>
      <c r="G1046" s="100">
        <v>-19</v>
      </c>
      <c r="H1046" s="100">
        <v>1</v>
      </c>
      <c r="I1046" s="100">
        <v>-39</v>
      </c>
      <c r="K1046" s="105">
        <v>44267</v>
      </c>
      <c r="L1046" s="100">
        <v>26.761</v>
      </c>
      <c r="M1046" s="106">
        <v>25.212</v>
      </c>
      <c r="N1046" s="100">
        <v>6</v>
      </c>
      <c r="O1046" s="100">
        <v>45</v>
      </c>
      <c r="P1046" s="100">
        <v>66</v>
      </c>
      <c r="Q1046" s="100">
        <v>25</v>
      </c>
      <c r="S1046" s="105">
        <v>44267</v>
      </c>
      <c r="T1046" s="106">
        <f t="shared" ref="T1046:T1109" si="16">D1046-M1046</f>
        <v>-1.992</v>
      </c>
    </row>
    <row r="1047" spans="3:20">
      <c r="C1047" s="105">
        <v>44266</v>
      </c>
      <c r="D1047" s="106">
        <v>22.961</v>
      </c>
      <c r="E1047" s="100">
        <v>24.463</v>
      </c>
      <c r="F1047" s="100">
        <v>-6</v>
      </c>
      <c r="G1047" s="100">
        <v>-19</v>
      </c>
      <c r="H1047" s="100">
        <v>1</v>
      </c>
      <c r="I1047" s="100">
        <v>-39</v>
      </c>
      <c r="K1047" s="105">
        <v>44266</v>
      </c>
      <c r="L1047" s="100">
        <v>27.186</v>
      </c>
      <c r="M1047" s="106">
        <v>24.852</v>
      </c>
      <c r="N1047" s="100">
        <v>9</v>
      </c>
      <c r="O1047" s="100">
        <v>45</v>
      </c>
      <c r="P1047" s="100">
        <v>66</v>
      </c>
      <c r="Q1047" s="100">
        <v>25</v>
      </c>
      <c r="S1047" s="105">
        <v>44266</v>
      </c>
      <c r="T1047" s="106">
        <f t="shared" si="16"/>
        <v>-1.891</v>
      </c>
    </row>
    <row r="1048" spans="3:20">
      <c r="C1048" s="105">
        <v>44265</v>
      </c>
      <c r="D1048" s="106">
        <v>23.067</v>
      </c>
      <c r="E1048" s="100">
        <v>23.935</v>
      </c>
      <c r="F1048" s="100">
        <v>-4</v>
      </c>
      <c r="G1048" s="100">
        <v>-19</v>
      </c>
      <c r="H1048" s="100">
        <v>1</v>
      </c>
      <c r="I1048" s="100">
        <v>-39</v>
      </c>
      <c r="K1048" s="105">
        <v>44265</v>
      </c>
      <c r="L1048" s="100">
        <v>27.305</v>
      </c>
      <c r="M1048" s="106">
        <v>24.416</v>
      </c>
      <c r="N1048" s="100">
        <v>12</v>
      </c>
      <c r="O1048" s="100">
        <v>45</v>
      </c>
      <c r="P1048" s="100">
        <v>66</v>
      </c>
      <c r="Q1048" s="100">
        <v>25</v>
      </c>
      <c r="S1048" s="105">
        <v>44265</v>
      </c>
      <c r="T1048" s="106">
        <f t="shared" si="16"/>
        <v>-1.349</v>
      </c>
    </row>
    <row r="1049" spans="3:20">
      <c r="C1049" s="105">
        <v>44264</v>
      </c>
      <c r="D1049" s="106">
        <v>22.95</v>
      </c>
      <c r="E1049" s="100">
        <v>23.872</v>
      </c>
      <c r="F1049" s="100">
        <v>-4</v>
      </c>
      <c r="G1049" s="100">
        <v>-19</v>
      </c>
      <c r="H1049" s="100">
        <v>1</v>
      </c>
      <c r="I1049" s="100">
        <v>-39</v>
      </c>
      <c r="K1049" s="105">
        <v>44264</v>
      </c>
      <c r="L1049" s="100">
        <v>28.084</v>
      </c>
      <c r="M1049" s="106">
        <v>24.474</v>
      </c>
      <c r="N1049" s="100">
        <v>15</v>
      </c>
      <c r="O1049" s="100">
        <v>45</v>
      </c>
      <c r="P1049" s="100">
        <v>66</v>
      </c>
      <c r="Q1049" s="100">
        <v>25</v>
      </c>
      <c r="S1049" s="105">
        <v>44264</v>
      </c>
      <c r="T1049" s="106">
        <f t="shared" si="16"/>
        <v>-1.524</v>
      </c>
    </row>
    <row r="1050" spans="3:20">
      <c r="C1050" s="105">
        <v>44263</v>
      </c>
      <c r="D1050" s="106">
        <v>22.231</v>
      </c>
      <c r="E1050" s="100">
        <v>23.346</v>
      </c>
      <c r="F1050" s="100">
        <v>-5</v>
      </c>
      <c r="G1050" s="100">
        <v>-19</v>
      </c>
      <c r="H1050" s="100">
        <v>1</v>
      </c>
      <c r="I1050" s="100">
        <v>-39</v>
      </c>
      <c r="K1050" s="105">
        <v>44263</v>
      </c>
      <c r="L1050" s="100">
        <v>27.162</v>
      </c>
      <c r="M1050" s="106">
        <v>23.891</v>
      </c>
      <c r="N1050" s="100">
        <v>14</v>
      </c>
      <c r="O1050" s="100">
        <v>45</v>
      </c>
      <c r="P1050" s="100">
        <v>66</v>
      </c>
      <c r="Q1050" s="100">
        <v>25</v>
      </c>
      <c r="S1050" s="105">
        <v>44263</v>
      </c>
      <c r="T1050" s="106">
        <f t="shared" si="16"/>
        <v>-1.66</v>
      </c>
    </row>
    <row r="1051" spans="3:20">
      <c r="C1051" s="105">
        <v>44260</v>
      </c>
      <c r="D1051" s="106">
        <v>21.791</v>
      </c>
      <c r="E1051" s="100">
        <v>22.899</v>
      </c>
      <c r="F1051" s="100">
        <v>-5</v>
      </c>
      <c r="G1051" s="100">
        <v>-19</v>
      </c>
      <c r="H1051" s="100">
        <v>1</v>
      </c>
      <c r="I1051" s="100">
        <v>-39</v>
      </c>
      <c r="K1051" s="105">
        <v>44260</v>
      </c>
      <c r="L1051" s="100">
        <v>30.058</v>
      </c>
      <c r="M1051" s="106">
        <v>23.922</v>
      </c>
      <c r="N1051" s="100">
        <v>26</v>
      </c>
      <c r="O1051" s="100">
        <v>45</v>
      </c>
      <c r="P1051" s="100">
        <v>66</v>
      </c>
      <c r="Q1051" s="100">
        <v>25</v>
      </c>
      <c r="S1051" s="105">
        <v>44260</v>
      </c>
      <c r="T1051" s="106">
        <f t="shared" si="16"/>
        <v>-2.131</v>
      </c>
    </row>
    <row r="1052" spans="3:20">
      <c r="C1052" s="105">
        <v>44259</v>
      </c>
      <c r="D1052" s="106">
        <v>22.631</v>
      </c>
      <c r="E1052" s="100">
        <v>23.082</v>
      </c>
      <c r="F1052" s="100">
        <v>-2</v>
      </c>
      <c r="G1052" s="100">
        <v>-19</v>
      </c>
      <c r="H1052" s="100">
        <v>1</v>
      </c>
      <c r="I1052" s="100">
        <v>-39</v>
      </c>
      <c r="K1052" s="105">
        <v>44259</v>
      </c>
      <c r="L1052" s="100">
        <v>33.643</v>
      </c>
      <c r="M1052" s="106">
        <v>24.591</v>
      </c>
      <c r="N1052" s="100">
        <v>37</v>
      </c>
      <c r="O1052" s="100">
        <v>45</v>
      </c>
      <c r="P1052" s="100">
        <v>66</v>
      </c>
      <c r="Q1052" s="100">
        <v>25</v>
      </c>
      <c r="S1052" s="105">
        <v>44259</v>
      </c>
      <c r="T1052" s="106">
        <f t="shared" si="16"/>
        <v>-1.96</v>
      </c>
    </row>
    <row r="1053" spans="3:20">
      <c r="C1053" s="105">
        <v>44258</v>
      </c>
      <c r="D1053" s="106">
        <v>23.351</v>
      </c>
      <c r="E1053" s="100">
        <v>23.445</v>
      </c>
      <c r="F1053" s="100">
        <v>0</v>
      </c>
      <c r="G1053" s="100">
        <v>-19</v>
      </c>
      <c r="H1053" s="100">
        <v>1</v>
      </c>
      <c r="I1053" s="100">
        <v>-39</v>
      </c>
      <c r="K1053" s="105">
        <v>44258</v>
      </c>
      <c r="L1053" s="100">
        <v>33.922</v>
      </c>
      <c r="M1053" s="106">
        <v>24.942</v>
      </c>
      <c r="N1053" s="100">
        <v>36</v>
      </c>
      <c r="O1053" s="100">
        <v>45</v>
      </c>
      <c r="P1053" s="100">
        <v>66</v>
      </c>
      <c r="Q1053" s="100">
        <v>25</v>
      </c>
      <c r="S1053" s="105">
        <v>44258</v>
      </c>
      <c r="T1053" s="106">
        <f t="shared" si="16"/>
        <v>-1.591</v>
      </c>
    </row>
    <row r="1054" spans="3:20">
      <c r="C1054" s="105">
        <v>44257</v>
      </c>
      <c r="D1054" s="106">
        <v>22.736</v>
      </c>
      <c r="E1054" s="100">
        <v>23.076</v>
      </c>
      <c r="F1054" s="100">
        <v>-1</v>
      </c>
      <c r="G1054" s="100">
        <v>-19</v>
      </c>
      <c r="H1054" s="100">
        <v>1</v>
      </c>
      <c r="I1054" s="100">
        <v>-39</v>
      </c>
      <c r="K1054" s="105">
        <v>44257</v>
      </c>
      <c r="L1054" s="100">
        <v>34.477</v>
      </c>
      <c r="M1054" s="106">
        <v>24.704</v>
      </c>
      <c r="N1054" s="100">
        <v>40</v>
      </c>
      <c r="O1054" s="100">
        <v>45</v>
      </c>
      <c r="P1054" s="100">
        <v>66</v>
      </c>
      <c r="Q1054" s="100">
        <v>25</v>
      </c>
      <c r="S1054" s="105">
        <v>44257</v>
      </c>
      <c r="T1054" s="106">
        <f t="shared" si="16"/>
        <v>-1.968</v>
      </c>
    </row>
    <row r="1055" spans="3:20">
      <c r="C1055" s="105">
        <v>44256</v>
      </c>
      <c r="D1055" s="106">
        <v>23.137</v>
      </c>
      <c r="E1055" s="100">
        <v>23.356</v>
      </c>
      <c r="F1055" s="100">
        <v>-1</v>
      </c>
      <c r="G1055" s="100">
        <v>-19</v>
      </c>
      <c r="H1055" s="100">
        <v>1</v>
      </c>
      <c r="I1055" s="100">
        <v>-39</v>
      </c>
      <c r="K1055" s="105">
        <v>44256</v>
      </c>
      <c r="L1055" s="100">
        <v>34.494</v>
      </c>
      <c r="M1055" s="106">
        <v>24.947</v>
      </c>
      <c r="N1055" s="100">
        <v>38</v>
      </c>
      <c r="O1055" s="100">
        <v>45</v>
      </c>
      <c r="P1055" s="100">
        <v>66</v>
      </c>
      <c r="Q1055" s="100">
        <v>25</v>
      </c>
      <c r="S1055" s="105">
        <v>44256</v>
      </c>
      <c r="T1055" s="106">
        <f t="shared" si="16"/>
        <v>-1.81</v>
      </c>
    </row>
    <row r="1056" spans="3:20">
      <c r="C1056" s="105">
        <v>44253</v>
      </c>
      <c r="D1056" s="106">
        <v>22.989</v>
      </c>
      <c r="E1056" s="100">
        <v>23.077</v>
      </c>
      <c r="F1056" s="100">
        <v>0</v>
      </c>
      <c r="G1056" s="100">
        <v>-19</v>
      </c>
      <c r="H1056" s="100">
        <v>1</v>
      </c>
      <c r="I1056" s="100">
        <v>-39</v>
      </c>
      <c r="K1056" s="105">
        <v>44253</v>
      </c>
      <c r="L1056" s="100">
        <v>34.183</v>
      </c>
      <c r="M1056" s="106">
        <v>24.664</v>
      </c>
      <c r="N1056" s="100">
        <v>39</v>
      </c>
      <c r="O1056" s="100">
        <v>45</v>
      </c>
      <c r="P1056" s="100">
        <v>66</v>
      </c>
      <c r="Q1056" s="100">
        <v>25</v>
      </c>
      <c r="S1056" s="105">
        <v>44253</v>
      </c>
      <c r="T1056" s="106">
        <f t="shared" si="16"/>
        <v>-1.675</v>
      </c>
    </row>
    <row r="1057" spans="3:20">
      <c r="C1057" s="105">
        <v>44252</v>
      </c>
      <c r="D1057" s="106">
        <v>23.489</v>
      </c>
      <c r="E1057" s="100">
        <v>23.299</v>
      </c>
      <c r="F1057" s="100">
        <v>1</v>
      </c>
      <c r="G1057" s="100">
        <v>-19</v>
      </c>
      <c r="H1057" s="100">
        <v>1</v>
      </c>
      <c r="I1057" s="100">
        <v>-39</v>
      </c>
      <c r="K1057" s="105">
        <v>44252</v>
      </c>
      <c r="L1057" s="100">
        <v>35.31</v>
      </c>
      <c r="M1057" s="106">
        <v>25.014</v>
      </c>
      <c r="N1057" s="100">
        <v>41</v>
      </c>
      <c r="O1057" s="100">
        <v>45</v>
      </c>
      <c r="P1057" s="100">
        <v>66</v>
      </c>
      <c r="Q1057" s="100">
        <v>25</v>
      </c>
      <c r="S1057" s="105">
        <v>44252</v>
      </c>
      <c r="T1057" s="106">
        <f t="shared" si="16"/>
        <v>-1.525</v>
      </c>
    </row>
    <row r="1058" spans="3:20">
      <c r="C1058" s="105">
        <v>44251</v>
      </c>
      <c r="D1058" s="106">
        <v>23.577</v>
      </c>
      <c r="E1058" s="100">
        <v>23.173</v>
      </c>
      <c r="F1058" s="100">
        <v>2</v>
      </c>
      <c r="G1058" s="100">
        <v>-19</v>
      </c>
      <c r="H1058" s="100">
        <v>1</v>
      </c>
      <c r="I1058" s="100">
        <v>-39</v>
      </c>
      <c r="K1058" s="105">
        <v>44251</v>
      </c>
      <c r="L1058" s="100">
        <v>34.853</v>
      </c>
      <c r="M1058" s="106">
        <v>24.842</v>
      </c>
      <c r="N1058" s="100">
        <v>40</v>
      </c>
      <c r="O1058" s="100">
        <v>45</v>
      </c>
      <c r="P1058" s="100">
        <v>66</v>
      </c>
      <c r="Q1058" s="100">
        <v>25</v>
      </c>
      <c r="S1058" s="105">
        <v>44251</v>
      </c>
      <c r="T1058" s="106">
        <f t="shared" si="16"/>
        <v>-1.265</v>
      </c>
    </row>
    <row r="1059" spans="3:20">
      <c r="C1059" s="105">
        <v>44250</v>
      </c>
      <c r="D1059" s="106">
        <v>23.521</v>
      </c>
      <c r="E1059" s="100">
        <v>22.984</v>
      </c>
      <c r="F1059" s="100">
        <v>2</v>
      </c>
      <c r="G1059" s="100">
        <v>-19</v>
      </c>
      <c r="H1059" s="100">
        <v>1</v>
      </c>
      <c r="I1059" s="100">
        <v>-39</v>
      </c>
      <c r="K1059" s="105">
        <v>44250</v>
      </c>
      <c r="L1059" s="100">
        <v>34.621</v>
      </c>
      <c r="M1059" s="106">
        <v>24.646</v>
      </c>
      <c r="N1059" s="100">
        <v>40</v>
      </c>
      <c r="O1059" s="100">
        <v>45</v>
      </c>
      <c r="P1059" s="100">
        <v>66</v>
      </c>
      <c r="Q1059" s="100">
        <v>25</v>
      </c>
      <c r="S1059" s="105">
        <v>44250</v>
      </c>
      <c r="T1059" s="106">
        <f t="shared" si="16"/>
        <v>-1.125</v>
      </c>
    </row>
    <row r="1060" spans="3:20">
      <c r="C1060" s="105">
        <v>44249</v>
      </c>
      <c r="D1060" s="106">
        <v>23.309</v>
      </c>
      <c r="E1060" s="100">
        <v>22.372</v>
      </c>
      <c r="F1060" s="100">
        <v>4</v>
      </c>
      <c r="G1060" s="100">
        <v>-19</v>
      </c>
      <c r="H1060" s="100">
        <v>1</v>
      </c>
      <c r="I1060" s="100">
        <v>-39</v>
      </c>
      <c r="K1060" s="105">
        <v>44249</v>
      </c>
      <c r="L1060" s="100">
        <v>35.096</v>
      </c>
      <c r="M1060" s="106">
        <v>24.19</v>
      </c>
      <c r="N1060" s="100">
        <v>45</v>
      </c>
      <c r="O1060" s="100">
        <v>45</v>
      </c>
      <c r="P1060" s="100">
        <v>66</v>
      </c>
      <c r="Q1060" s="100">
        <v>25</v>
      </c>
      <c r="S1060" s="105">
        <v>44249</v>
      </c>
      <c r="T1060" s="106">
        <f t="shared" si="16"/>
        <v>-0.881</v>
      </c>
    </row>
    <row r="1061" spans="3:20">
      <c r="C1061" s="105">
        <v>44246</v>
      </c>
      <c r="D1061" s="106">
        <v>23.639</v>
      </c>
      <c r="E1061" s="100">
        <v>22.349</v>
      </c>
      <c r="F1061" s="100">
        <v>6</v>
      </c>
      <c r="G1061" s="100">
        <v>-19</v>
      </c>
      <c r="H1061" s="100">
        <v>1</v>
      </c>
      <c r="I1061" s="100">
        <v>-39</v>
      </c>
      <c r="K1061" s="105">
        <v>44246</v>
      </c>
      <c r="L1061" s="100">
        <v>35.777</v>
      </c>
      <c r="M1061" s="106">
        <v>24.268</v>
      </c>
      <c r="N1061" s="100">
        <v>47</v>
      </c>
      <c r="O1061" s="100">
        <v>45</v>
      </c>
      <c r="P1061" s="100">
        <v>66</v>
      </c>
      <c r="Q1061" s="100">
        <v>25</v>
      </c>
      <c r="S1061" s="105">
        <v>44246</v>
      </c>
      <c r="T1061" s="106">
        <f t="shared" si="16"/>
        <v>-0.629000000000001</v>
      </c>
    </row>
    <row r="1062" spans="3:20">
      <c r="C1062" s="105">
        <v>44245</v>
      </c>
      <c r="D1062" s="106">
        <v>23.028</v>
      </c>
      <c r="E1062" s="100">
        <v>22.282</v>
      </c>
      <c r="F1062" s="100">
        <v>3</v>
      </c>
      <c r="G1062" s="100">
        <v>-19</v>
      </c>
      <c r="H1062" s="100">
        <v>1</v>
      </c>
      <c r="I1062" s="100">
        <v>-39</v>
      </c>
      <c r="K1062" s="105">
        <v>44245</v>
      </c>
      <c r="L1062" s="100">
        <v>36.258</v>
      </c>
      <c r="M1062" s="106">
        <v>24.279</v>
      </c>
      <c r="N1062" s="100">
        <v>49</v>
      </c>
      <c r="O1062" s="100">
        <v>45</v>
      </c>
      <c r="P1062" s="100">
        <v>66</v>
      </c>
      <c r="Q1062" s="100">
        <v>25</v>
      </c>
      <c r="S1062" s="105">
        <v>44245</v>
      </c>
      <c r="T1062" s="106">
        <f t="shared" si="16"/>
        <v>-1.251</v>
      </c>
    </row>
    <row r="1063" spans="3:20">
      <c r="C1063" s="105">
        <v>44244</v>
      </c>
      <c r="D1063" s="106">
        <v>23.138</v>
      </c>
      <c r="E1063" s="100">
        <v>22.289</v>
      </c>
      <c r="F1063" s="100">
        <v>4</v>
      </c>
      <c r="G1063" s="100">
        <v>-19</v>
      </c>
      <c r="H1063" s="100">
        <v>1</v>
      </c>
      <c r="I1063" s="100">
        <v>-39</v>
      </c>
      <c r="K1063" s="105">
        <v>44244</v>
      </c>
      <c r="L1063" s="100">
        <v>36.121</v>
      </c>
      <c r="M1063" s="106">
        <v>24.265</v>
      </c>
      <c r="N1063" s="100">
        <v>49</v>
      </c>
      <c r="O1063" s="100">
        <v>45</v>
      </c>
      <c r="P1063" s="100">
        <v>66</v>
      </c>
      <c r="Q1063" s="100">
        <v>25</v>
      </c>
      <c r="S1063" s="105">
        <v>44244</v>
      </c>
      <c r="T1063" s="106">
        <f t="shared" si="16"/>
        <v>-1.127</v>
      </c>
    </row>
    <row r="1064" spans="3:20">
      <c r="C1064" s="105">
        <v>44243</v>
      </c>
      <c r="D1064" s="106">
        <v>23.493</v>
      </c>
      <c r="E1064" s="100">
        <v>22.544</v>
      </c>
      <c r="F1064" s="100">
        <v>4</v>
      </c>
      <c r="G1064" s="100">
        <v>-19</v>
      </c>
      <c r="H1064" s="100">
        <v>1</v>
      </c>
      <c r="I1064" s="100">
        <v>-39</v>
      </c>
      <c r="K1064" s="105">
        <v>44243</v>
      </c>
      <c r="L1064" s="100">
        <v>36.506</v>
      </c>
      <c r="M1064" s="106">
        <v>24.539</v>
      </c>
      <c r="N1064" s="100">
        <v>49</v>
      </c>
      <c r="O1064" s="100">
        <v>45</v>
      </c>
      <c r="P1064" s="100">
        <v>66</v>
      </c>
      <c r="Q1064" s="100">
        <v>25</v>
      </c>
      <c r="S1064" s="105">
        <v>44243</v>
      </c>
      <c r="T1064" s="106">
        <f t="shared" si="16"/>
        <v>-1.046</v>
      </c>
    </row>
    <row r="1065" spans="3:20">
      <c r="C1065" s="105">
        <v>44242</v>
      </c>
      <c r="D1065" s="106">
        <v>23.571</v>
      </c>
      <c r="E1065" s="100">
        <v>22.57</v>
      </c>
      <c r="F1065" s="100">
        <v>4</v>
      </c>
      <c r="G1065" s="100">
        <v>-19</v>
      </c>
      <c r="H1065" s="100">
        <v>1</v>
      </c>
      <c r="I1065" s="100">
        <v>-39</v>
      </c>
      <c r="K1065" s="105">
        <v>44242</v>
      </c>
      <c r="L1065" s="100">
        <v>36.398</v>
      </c>
      <c r="M1065" s="106">
        <v>24.546</v>
      </c>
      <c r="N1065" s="100">
        <v>48</v>
      </c>
      <c r="O1065" s="100">
        <v>45</v>
      </c>
      <c r="P1065" s="100">
        <v>66</v>
      </c>
      <c r="Q1065" s="100">
        <v>25</v>
      </c>
      <c r="S1065" s="105">
        <v>44242</v>
      </c>
      <c r="T1065" s="106">
        <f t="shared" si="16"/>
        <v>-0.974999999999998</v>
      </c>
    </row>
    <row r="1066" spans="3:20">
      <c r="C1066" s="105">
        <v>44239</v>
      </c>
      <c r="D1066" s="106">
        <v>22.158</v>
      </c>
      <c r="E1066" s="100">
        <v>21.839</v>
      </c>
      <c r="F1066" s="100">
        <v>1</v>
      </c>
      <c r="G1066" s="100">
        <v>-19</v>
      </c>
      <c r="H1066" s="100">
        <v>1</v>
      </c>
      <c r="I1066" s="100">
        <v>-39</v>
      </c>
      <c r="K1066" s="105">
        <v>44239</v>
      </c>
      <c r="L1066" s="100">
        <v>36.151</v>
      </c>
      <c r="M1066" s="106">
        <v>23.884</v>
      </c>
      <c r="N1066" s="100">
        <v>51</v>
      </c>
      <c r="O1066" s="100">
        <v>45</v>
      </c>
      <c r="P1066" s="100">
        <v>66</v>
      </c>
      <c r="Q1066" s="100">
        <v>25</v>
      </c>
      <c r="S1066" s="105">
        <v>44239</v>
      </c>
      <c r="T1066" s="106">
        <f t="shared" si="16"/>
        <v>-1.726</v>
      </c>
    </row>
    <row r="1067" spans="3:20">
      <c r="C1067" s="105">
        <v>44238</v>
      </c>
      <c r="D1067" s="106">
        <v>22.075</v>
      </c>
      <c r="E1067" s="100">
        <v>21.854</v>
      </c>
      <c r="F1067" s="100">
        <v>1</v>
      </c>
      <c r="G1067" s="100">
        <v>-19</v>
      </c>
      <c r="H1067" s="100">
        <v>1</v>
      </c>
      <c r="I1067" s="100">
        <v>-39</v>
      </c>
      <c r="K1067" s="105">
        <v>44238</v>
      </c>
      <c r="L1067" s="100">
        <v>35.908</v>
      </c>
      <c r="M1067" s="106">
        <v>23.862</v>
      </c>
      <c r="N1067" s="100">
        <v>50</v>
      </c>
      <c r="O1067" s="100">
        <v>45</v>
      </c>
      <c r="P1067" s="100">
        <v>66</v>
      </c>
      <c r="Q1067" s="100">
        <v>25</v>
      </c>
      <c r="S1067" s="105">
        <v>44238</v>
      </c>
      <c r="T1067" s="106">
        <f t="shared" si="16"/>
        <v>-1.787</v>
      </c>
    </row>
    <row r="1068" spans="3:20">
      <c r="C1068" s="105">
        <v>44237</v>
      </c>
      <c r="D1068" s="106">
        <v>21.708</v>
      </c>
      <c r="E1068" s="100">
        <v>21.675</v>
      </c>
      <c r="F1068" s="100">
        <v>0</v>
      </c>
      <c r="G1068" s="100">
        <v>-19</v>
      </c>
      <c r="H1068" s="100">
        <v>1</v>
      </c>
      <c r="I1068" s="100">
        <v>-39</v>
      </c>
      <c r="K1068" s="105">
        <v>44237</v>
      </c>
      <c r="L1068" s="100">
        <v>35.657</v>
      </c>
      <c r="M1068" s="106">
        <v>23.673</v>
      </c>
      <c r="N1068" s="100">
        <v>51</v>
      </c>
      <c r="O1068" s="100">
        <v>45</v>
      </c>
      <c r="P1068" s="100">
        <v>66</v>
      </c>
      <c r="Q1068" s="100">
        <v>25</v>
      </c>
      <c r="S1068" s="105">
        <v>44237</v>
      </c>
      <c r="T1068" s="106">
        <f t="shared" si="16"/>
        <v>-1.965</v>
      </c>
    </row>
    <row r="1069" spans="3:20">
      <c r="C1069" s="105">
        <v>44236</v>
      </c>
      <c r="D1069" s="106">
        <v>22.032</v>
      </c>
      <c r="E1069" s="100">
        <v>22.002</v>
      </c>
      <c r="F1069" s="100">
        <v>0</v>
      </c>
      <c r="G1069" s="100">
        <v>-19</v>
      </c>
      <c r="H1069" s="100">
        <v>1</v>
      </c>
      <c r="I1069" s="100">
        <v>-39</v>
      </c>
      <c r="K1069" s="105">
        <v>44236</v>
      </c>
      <c r="L1069" s="100">
        <v>35.965</v>
      </c>
      <c r="M1069" s="106">
        <v>23.997</v>
      </c>
      <c r="N1069" s="100">
        <v>50</v>
      </c>
      <c r="O1069" s="100">
        <v>45</v>
      </c>
      <c r="P1069" s="100">
        <v>66</v>
      </c>
      <c r="Q1069" s="100">
        <v>25</v>
      </c>
      <c r="S1069" s="105">
        <v>44236</v>
      </c>
      <c r="T1069" s="106">
        <f t="shared" si="16"/>
        <v>-1.965</v>
      </c>
    </row>
    <row r="1070" spans="3:20">
      <c r="C1070" s="105">
        <v>44235</v>
      </c>
      <c r="D1070" s="106">
        <v>22.575</v>
      </c>
      <c r="E1070" s="100">
        <v>22.241</v>
      </c>
      <c r="F1070" s="100">
        <v>1</v>
      </c>
      <c r="G1070" s="100">
        <v>-19</v>
      </c>
      <c r="H1070" s="100">
        <v>1</v>
      </c>
      <c r="I1070" s="100">
        <v>-39</v>
      </c>
      <c r="K1070" s="105">
        <v>44235</v>
      </c>
      <c r="L1070" s="100">
        <v>34.584</v>
      </c>
      <c r="M1070" s="106">
        <v>24.005</v>
      </c>
      <c r="N1070" s="100">
        <v>44</v>
      </c>
      <c r="O1070" s="100">
        <v>45</v>
      </c>
      <c r="P1070" s="100">
        <v>66</v>
      </c>
      <c r="Q1070" s="100">
        <v>25</v>
      </c>
      <c r="S1070" s="105">
        <v>44235</v>
      </c>
      <c r="T1070" s="106">
        <f t="shared" si="16"/>
        <v>-1.43</v>
      </c>
    </row>
    <row r="1071" spans="3:20">
      <c r="C1071" s="105">
        <v>44232</v>
      </c>
      <c r="D1071" s="106">
        <v>23.281</v>
      </c>
      <c r="E1071" s="100">
        <v>22.498</v>
      </c>
      <c r="F1071" s="100">
        <v>3</v>
      </c>
      <c r="G1071" s="100">
        <v>-19</v>
      </c>
      <c r="H1071" s="100">
        <v>1</v>
      </c>
      <c r="I1071" s="100">
        <v>-39</v>
      </c>
      <c r="K1071" s="105">
        <v>44232</v>
      </c>
      <c r="L1071" s="100">
        <v>35.233</v>
      </c>
      <c r="M1071" s="106">
        <v>24.317</v>
      </c>
      <c r="N1071" s="100">
        <v>45</v>
      </c>
      <c r="O1071" s="100">
        <v>45</v>
      </c>
      <c r="P1071" s="100">
        <v>66</v>
      </c>
      <c r="Q1071" s="100">
        <v>25</v>
      </c>
      <c r="S1071" s="105">
        <v>44232</v>
      </c>
      <c r="T1071" s="106">
        <f t="shared" si="16"/>
        <v>-1.036</v>
      </c>
    </row>
    <row r="1072" spans="3:20">
      <c r="C1072" s="105">
        <v>44231</v>
      </c>
      <c r="D1072" s="106">
        <v>22.741</v>
      </c>
      <c r="E1072" s="100">
        <v>22.205</v>
      </c>
      <c r="F1072" s="100">
        <v>2</v>
      </c>
      <c r="G1072" s="100">
        <v>-19</v>
      </c>
      <c r="H1072" s="100">
        <v>1</v>
      </c>
      <c r="I1072" s="100">
        <v>-39</v>
      </c>
      <c r="K1072" s="105">
        <v>44231</v>
      </c>
      <c r="L1072" s="100">
        <v>35.396</v>
      </c>
      <c r="M1072" s="106">
        <v>24.089</v>
      </c>
      <c r="N1072" s="100">
        <v>47</v>
      </c>
      <c r="O1072" s="100">
        <v>45</v>
      </c>
      <c r="P1072" s="100">
        <v>66</v>
      </c>
      <c r="Q1072" s="100">
        <v>25</v>
      </c>
      <c r="S1072" s="105">
        <v>44231</v>
      </c>
      <c r="T1072" s="106">
        <f t="shared" si="16"/>
        <v>-1.348</v>
      </c>
    </row>
    <row r="1073" spans="3:20">
      <c r="C1073" s="105">
        <v>44230</v>
      </c>
      <c r="D1073" s="106">
        <v>22.269</v>
      </c>
      <c r="E1073" s="100">
        <v>22.032</v>
      </c>
      <c r="F1073" s="100">
        <v>1</v>
      </c>
      <c r="G1073" s="100">
        <v>-19</v>
      </c>
      <c r="H1073" s="100">
        <v>1</v>
      </c>
      <c r="I1073" s="100">
        <v>-39</v>
      </c>
      <c r="K1073" s="105">
        <v>44230</v>
      </c>
      <c r="L1073" s="100">
        <v>34.759</v>
      </c>
      <c r="M1073" s="106">
        <v>23.85</v>
      </c>
      <c r="N1073" s="100">
        <v>46</v>
      </c>
      <c r="O1073" s="100">
        <v>45</v>
      </c>
      <c r="P1073" s="100">
        <v>66</v>
      </c>
      <c r="Q1073" s="100">
        <v>25</v>
      </c>
      <c r="S1073" s="105">
        <v>44230</v>
      </c>
      <c r="T1073" s="106">
        <f t="shared" si="16"/>
        <v>-1.581</v>
      </c>
    </row>
    <row r="1074" spans="3:20">
      <c r="C1074" s="105">
        <v>44229</v>
      </c>
      <c r="D1074" s="106">
        <v>22.289</v>
      </c>
      <c r="E1074" s="100">
        <v>21.986</v>
      </c>
      <c r="F1074" s="100">
        <v>1</v>
      </c>
      <c r="G1074" s="100">
        <v>-19</v>
      </c>
      <c r="H1074" s="100">
        <v>1</v>
      </c>
      <c r="I1074" s="100">
        <v>-39</v>
      </c>
      <c r="K1074" s="105">
        <v>44229</v>
      </c>
      <c r="L1074" s="100">
        <v>36.359</v>
      </c>
      <c r="M1074" s="106">
        <v>24.039</v>
      </c>
      <c r="N1074" s="100">
        <v>51</v>
      </c>
      <c r="O1074" s="100">
        <v>45</v>
      </c>
      <c r="P1074" s="100">
        <v>66</v>
      </c>
      <c r="Q1074" s="100">
        <v>25</v>
      </c>
      <c r="S1074" s="105">
        <v>44229</v>
      </c>
      <c r="T1074" s="106">
        <f t="shared" si="16"/>
        <v>-1.75</v>
      </c>
    </row>
    <row r="1075" spans="3:20">
      <c r="C1075" s="105">
        <v>44228</v>
      </c>
      <c r="D1075" s="106">
        <v>21.887</v>
      </c>
      <c r="E1075" s="100">
        <v>21.87</v>
      </c>
      <c r="F1075" s="100">
        <v>0</v>
      </c>
      <c r="G1075" s="100">
        <v>-19</v>
      </c>
      <c r="H1075" s="100">
        <v>1</v>
      </c>
      <c r="I1075" s="100">
        <v>-39</v>
      </c>
      <c r="K1075" s="105">
        <v>44228</v>
      </c>
      <c r="L1075" s="100">
        <v>36.085</v>
      </c>
      <c r="M1075" s="106">
        <v>23.901</v>
      </c>
      <c r="N1075" s="100">
        <v>51</v>
      </c>
      <c r="O1075" s="100">
        <v>45</v>
      </c>
      <c r="P1075" s="100">
        <v>66</v>
      </c>
      <c r="Q1075" s="100">
        <v>25</v>
      </c>
      <c r="S1075" s="105">
        <v>44228</v>
      </c>
      <c r="T1075" s="106">
        <f t="shared" si="16"/>
        <v>-2.014</v>
      </c>
    </row>
    <row r="1076" spans="3:20">
      <c r="C1076" s="105">
        <v>44225</v>
      </c>
      <c r="D1076" s="106">
        <v>20.466</v>
      </c>
      <c r="E1076" s="100">
        <v>21.398</v>
      </c>
      <c r="F1076" s="100">
        <v>-4</v>
      </c>
      <c r="G1076" s="100">
        <v>-19</v>
      </c>
      <c r="H1076" s="100">
        <v>1</v>
      </c>
      <c r="I1076" s="100">
        <v>-39</v>
      </c>
      <c r="K1076" s="105">
        <v>44225</v>
      </c>
      <c r="L1076" s="100">
        <v>34.852</v>
      </c>
      <c r="M1076" s="106">
        <v>23.32</v>
      </c>
      <c r="N1076" s="100">
        <v>49</v>
      </c>
      <c r="O1076" s="100">
        <v>45</v>
      </c>
      <c r="P1076" s="100">
        <v>66</v>
      </c>
      <c r="Q1076" s="100">
        <v>25</v>
      </c>
      <c r="S1076" s="105">
        <v>44225</v>
      </c>
      <c r="T1076" s="106">
        <f t="shared" si="16"/>
        <v>-2.854</v>
      </c>
    </row>
    <row r="1077" spans="3:20">
      <c r="C1077" s="105">
        <v>44224</v>
      </c>
      <c r="D1077" s="106">
        <v>21.352</v>
      </c>
      <c r="E1077" s="100">
        <v>21.915</v>
      </c>
      <c r="F1077" s="100">
        <v>-3</v>
      </c>
      <c r="G1077" s="100">
        <v>-19</v>
      </c>
      <c r="H1077" s="100">
        <v>1</v>
      </c>
      <c r="I1077" s="100">
        <v>-39</v>
      </c>
      <c r="K1077" s="105">
        <v>44224</v>
      </c>
      <c r="L1077" s="100">
        <v>35.713</v>
      </c>
      <c r="M1077" s="106">
        <v>23.886</v>
      </c>
      <c r="N1077" s="100">
        <v>50</v>
      </c>
      <c r="O1077" s="100">
        <v>45</v>
      </c>
      <c r="P1077" s="100">
        <v>66</v>
      </c>
      <c r="Q1077" s="100">
        <v>25</v>
      </c>
      <c r="S1077" s="105">
        <v>44224</v>
      </c>
      <c r="T1077" s="106">
        <f t="shared" si="16"/>
        <v>-2.534</v>
      </c>
    </row>
    <row r="1078" spans="3:20">
      <c r="C1078" s="105">
        <v>44223</v>
      </c>
      <c r="D1078" s="106">
        <v>20.911</v>
      </c>
      <c r="E1078" s="100">
        <v>21.933</v>
      </c>
      <c r="F1078" s="100">
        <v>-5</v>
      </c>
      <c r="G1078" s="100">
        <v>-19</v>
      </c>
      <c r="H1078" s="100">
        <v>1</v>
      </c>
      <c r="I1078" s="100">
        <v>-39</v>
      </c>
      <c r="K1078" s="105">
        <v>44223</v>
      </c>
      <c r="L1078" s="100">
        <v>35.936</v>
      </c>
      <c r="M1078" s="106">
        <v>23.933</v>
      </c>
      <c r="N1078" s="100">
        <v>50</v>
      </c>
      <c r="O1078" s="100">
        <v>45</v>
      </c>
      <c r="P1078" s="100">
        <v>66</v>
      </c>
      <c r="Q1078" s="100">
        <v>25</v>
      </c>
      <c r="S1078" s="105">
        <v>44223</v>
      </c>
      <c r="T1078" s="106">
        <f t="shared" si="16"/>
        <v>-3.022</v>
      </c>
    </row>
    <row r="1079" spans="3:20">
      <c r="C1079" s="105">
        <v>44222</v>
      </c>
      <c r="D1079" s="106">
        <v>21.783</v>
      </c>
      <c r="E1079" s="100">
        <v>21.559</v>
      </c>
      <c r="F1079" s="100">
        <v>1</v>
      </c>
      <c r="G1079" s="100">
        <v>-19</v>
      </c>
      <c r="H1079" s="100">
        <v>1</v>
      </c>
      <c r="I1079" s="100">
        <v>-39</v>
      </c>
      <c r="K1079" s="105">
        <v>44222</v>
      </c>
      <c r="L1079" s="100">
        <v>37.52</v>
      </c>
      <c r="M1079" s="106">
        <v>23.839</v>
      </c>
      <c r="N1079" s="100">
        <v>57</v>
      </c>
      <c r="O1079" s="100">
        <v>45</v>
      </c>
      <c r="P1079" s="100">
        <v>66</v>
      </c>
      <c r="Q1079" s="100">
        <v>25</v>
      </c>
      <c r="S1079" s="105">
        <v>44222</v>
      </c>
      <c r="T1079" s="106">
        <f t="shared" si="16"/>
        <v>-2.056</v>
      </c>
    </row>
    <row r="1080" spans="3:20">
      <c r="C1080" s="105">
        <v>44221</v>
      </c>
      <c r="D1080" s="106">
        <v>22.482</v>
      </c>
      <c r="E1080" s="100">
        <v>21.401</v>
      </c>
      <c r="F1080" s="100">
        <v>5</v>
      </c>
      <c r="G1080" s="100">
        <v>-19</v>
      </c>
      <c r="H1080" s="100">
        <v>1</v>
      </c>
      <c r="I1080" s="100">
        <v>-39</v>
      </c>
      <c r="K1080" s="105">
        <v>44221</v>
      </c>
      <c r="L1080" s="100">
        <v>37.47</v>
      </c>
      <c r="M1080" s="106">
        <v>23.696</v>
      </c>
      <c r="N1080" s="100">
        <v>58</v>
      </c>
      <c r="O1080" s="100">
        <v>45</v>
      </c>
      <c r="P1080" s="100">
        <v>66</v>
      </c>
      <c r="Q1080" s="100">
        <v>25</v>
      </c>
      <c r="S1080" s="105">
        <v>44221</v>
      </c>
      <c r="T1080" s="106">
        <f t="shared" si="16"/>
        <v>-1.214</v>
      </c>
    </row>
    <row r="1081" spans="3:20">
      <c r="C1081" s="105">
        <v>44218</v>
      </c>
      <c r="D1081" s="106">
        <v>22.815</v>
      </c>
      <c r="E1081" s="100">
        <v>21.97</v>
      </c>
      <c r="F1081" s="100">
        <v>4</v>
      </c>
      <c r="G1081" s="100">
        <v>-19</v>
      </c>
      <c r="H1081" s="100">
        <v>1</v>
      </c>
      <c r="I1081" s="100">
        <v>-39</v>
      </c>
      <c r="K1081" s="105">
        <v>44218</v>
      </c>
      <c r="L1081" s="100">
        <v>37.869</v>
      </c>
      <c r="M1081" s="106">
        <v>24.242</v>
      </c>
      <c r="N1081" s="100">
        <v>56</v>
      </c>
      <c r="O1081" s="100">
        <v>45</v>
      </c>
      <c r="P1081" s="100">
        <v>66</v>
      </c>
      <c r="Q1081" s="100">
        <v>25</v>
      </c>
      <c r="S1081" s="105">
        <v>44218</v>
      </c>
      <c r="T1081" s="106">
        <f t="shared" si="16"/>
        <v>-1.427</v>
      </c>
    </row>
    <row r="1082" spans="3:20">
      <c r="C1082" s="105">
        <v>44217</v>
      </c>
      <c r="D1082" s="106">
        <v>22.923</v>
      </c>
      <c r="E1082" s="100">
        <v>22.174</v>
      </c>
      <c r="F1082" s="100">
        <v>3</v>
      </c>
      <c r="G1082" s="100">
        <v>-19</v>
      </c>
      <c r="H1082" s="100">
        <v>1</v>
      </c>
      <c r="I1082" s="100">
        <v>-39</v>
      </c>
      <c r="K1082" s="105">
        <v>44217</v>
      </c>
      <c r="L1082" s="100">
        <v>38.086</v>
      </c>
      <c r="M1082" s="106">
        <v>24.447</v>
      </c>
      <c r="N1082" s="100">
        <v>56</v>
      </c>
      <c r="O1082" s="100">
        <v>45</v>
      </c>
      <c r="P1082" s="100">
        <v>66</v>
      </c>
      <c r="Q1082" s="100">
        <v>25</v>
      </c>
      <c r="S1082" s="105">
        <v>44217</v>
      </c>
      <c r="T1082" s="106">
        <f t="shared" si="16"/>
        <v>-1.524</v>
      </c>
    </row>
    <row r="1083" spans="3:20">
      <c r="C1083" s="105">
        <v>44216</v>
      </c>
      <c r="D1083" s="106">
        <v>22.899</v>
      </c>
      <c r="E1083" s="100">
        <v>22.279</v>
      </c>
      <c r="F1083" s="100">
        <v>3</v>
      </c>
      <c r="G1083" s="100">
        <v>-19</v>
      </c>
      <c r="H1083" s="100">
        <v>1</v>
      </c>
      <c r="I1083" s="100">
        <v>-39</v>
      </c>
      <c r="K1083" s="105">
        <v>44216</v>
      </c>
      <c r="L1083" s="100">
        <v>37.928</v>
      </c>
      <c r="M1083" s="106">
        <v>24.514</v>
      </c>
      <c r="N1083" s="100">
        <v>55</v>
      </c>
      <c r="O1083" s="100">
        <v>45</v>
      </c>
      <c r="P1083" s="100">
        <v>66</v>
      </c>
      <c r="Q1083" s="100">
        <v>25</v>
      </c>
      <c r="S1083" s="105">
        <v>44216</v>
      </c>
      <c r="T1083" s="106">
        <f t="shared" si="16"/>
        <v>-1.615</v>
      </c>
    </row>
    <row r="1084" spans="3:20">
      <c r="C1084" s="105">
        <v>44215</v>
      </c>
      <c r="D1084" s="106">
        <v>22.611</v>
      </c>
      <c r="E1084" s="100">
        <v>21.926</v>
      </c>
      <c r="F1084" s="100">
        <v>3</v>
      </c>
      <c r="G1084" s="100">
        <v>-19</v>
      </c>
      <c r="H1084" s="100">
        <v>1</v>
      </c>
      <c r="I1084" s="100">
        <v>-39</v>
      </c>
      <c r="K1084" s="105">
        <v>44215</v>
      </c>
      <c r="L1084" s="100">
        <v>37.97</v>
      </c>
      <c r="M1084" s="106">
        <v>24.218</v>
      </c>
      <c r="N1084" s="100">
        <v>57</v>
      </c>
      <c r="O1084" s="100">
        <v>45</v>
      </c>
      <c r="P1084" s="100">
        <v>66</v>
      </c>
      <c r="Q1084" s="100">
        <v>25</v>
      </c>
      <c r="S1084" s="105">
        <v>44215</v>
      </c>
      <c r="T1084" s="106">
        <f t="shared" si="16"/>
        <v>-1.607</v>
      </c>
    </row>
    <row r="1085" spans="3:20">
      <c r="C1085" s="105">
        <v>44214</v>
      </c>
      <c r="D1085" s="106">
        <v>23.194</v>
      </c>
      <c r="E1085" s="100">
        <v>22.115</v>
      </c>
      <c r="F1085" s="100">
        <v>5</v>
      </c>
      <c r="G1085" s="100">
        <v>-19</v>
      </c>
      <c r="H1085" s="100">
        <v>1</v>
      </c>
      <c r="I1085" s="100">
        <v>-39</v>
      </c>
      <c r="K1085" s="105">
        <v>44214</v>
      </c>
      <c r="L1085" s="100">
        <v>37.873</v>
      </c>
      <c r="M1085" s="106">
        <v>24.366</v>
      </c>
      <c r="N1085" s="100">
        <v>55</v>
      </c>
      <c r="O1085" s="100">
        <v>45</v>
      </c>
      <c r="P1085" s="100">
        <v>66</v>
      </c>
      <c r="Q1085" s="100">
        <v>25</v>
      </c>
      <c r="S1085" s="105">
        <v>44214</v>
      </c>
      <c r="T1085" s="106">
        <f t="shared" si="16"/>
        <v>-1.172</v>
      </c>
    </row>
    <row r="1086" spans="3:20">
      <c r="C1086" s="105">
        <v>44211</v>
      </c>
      <c r="D1086" s="106">
        <v>22.94</v>
      </c>
      <c r="E1086" s="100">
        <v>21.718</v>
      </c>
      <c r="F1086" s="100">
        <v>6</v>
      </c>
      <c r="G1086" s="100">
        <v>-19</v>
      </c>
      <c r="H1086" s="100">
        <v>1</v>
      </c>
      <c r="I1086" s="100">
        <v>-39</v>
      </c>
      <c r="K1086" s="105">
        <v>44211</v>
      </c>
      <c r="L1086" s="100">
        <v>37.586</v>
      </c>
      <c r="M1086" s="106">
        <v>23.985</v>
      </c>
      <c r="N1086" s="100">
        <v>57</v>
      </c>
      <c r="O1086" s="100">
        <v>45</v>
      </c>
      <c r="P1086" s="100">
        <v>66</v>
      </c>
      <c r="Q1086" s="100">
        <v>25</v>
      </c>
      <c r="S1086" s="105">
        <v>44211</v>
      </c>
      <c r="T1086" s="106">
        <f t="shared" si="16"/>
        <v>-1.045</v>
      </c>
    </row>
    <row r="1087" spans="3:20">
      <c r="C1087" s="105">
        <v>44210</v>
      </c>
      <c r="D1087" s="106">
        <v>23.557</v>
      </c>
      <c r="E1087" s="100">
        <v>21.88</v>
      </c>
      <c r="F1087" s="100">
        <v>8</v>
      </c>
      <c r="G1087" s="100">
        <v>-19</v>
      </c>
      <c r="H1087" s="100">
        <v>1</v>
      </c>
      <c r="I1087" s="100">
        <v>-39</v>
      </c>
      <c r="K1087" s="105">
        <v>44210</v>
      </c>
      <c r="L1087" s="100">
        <v>38.369</v>
      </c>
      <c r="M1087" s="106">
        <v>24.236</v>
      </c>
      <c r="N1087" s="100">
        <v>58</v>
      </c>
      <c r="O1087" s="100">
        <v>45</v>
      </c>
      <c r="P1087" s="100">
        <v>66</v>
      </c>
      <c r="Q1087" s="100">
        <v>25</v>
      </c>
      <c r="S1087" s="105">
        <v>44210</v>
      </c>
      <c r="T1087" s="106">
        <f t="shared" si="16"/>
        <v>-0.679000000000002</v>
      </c>
    </row>
    <row r="1088" spans="3:20">
      <c r="C1088" s="105">
        <v>44209</v>
      </c>
      <c r="D1088" s="106">
        <v>23.736</v>
      </c>
      <c r="E1088" s="100">
        <v>21.676</v>
      </c>
      <c r="F1088" s="100">
        <v>10</v>
      </c>
      <c r="G1088" s="100">
        <v>-19</v>
      </c>
      <c r="H1088" s="100">
        <v>1</v>
      </c>
      <c r="I1088" s="100">
        <v>-39</v>
      </c>
      <c r="K1088" s="105">
        <v>44209</v>
      </c>
      <c r="L1088" s="100">
        <v>37.802</v>
      </c>
      <c r="M1088" s="106">
        <v>23.979</v>
      </c>
      <c r="N1088" s="100">
        <v>58</v>
      </c>
      <c r="O1088" s="100">
        <v>45</v>
      </c>
      <c r="P1088" s="100">
        <v>66</v>
      </c>
      <c r="Q1088" s="100">
        <v>25</v>
      </c>
      <c r="S1088" s="105">
        <v>44209</v>
      </c>
      <c r="T1088" s="106">
        <f t="shared" si="16"/>
        <v>-0.242999999999999</v>
      </c>
    </row>
    <row r="1089" spans="3:20">
      <c r="C1089" s="105">
        <v>44208</v>
      </c>
      <c r="D1089" s="106">
        <v>23.832</v>
      </c>
      <c r="E1089" s="100">
        <v>21.841</v>
      </c>
      <c r="F1089" s="100">
        <v>9</v>
      </c>
      <c r="G1089" s="100">
        <v>-19</v>
      </c>
      <c r="H1089" s="100">
        <v>1</v>
      </c>
      <c r="I1089" s="100">
        <v>-39</v>
      </c>
      <c r="K1089" s="105">
        <v>44208</v>
      </c>
      <c r="L1089" s="100">
        <v>37.887</v>
      </c>
      <c r="M1089" s="106">
        <v>24.133</v>
      </c>
      <c r="N1089" s="100">
        <v>57</v>
      </c>
      <c r="O1089" s="100">
        <v>45</v>
      </c>
      <c r="P1089" s="100">
        <v>66</v>
      </c>
      <c r="Q1089" s="100">
        <v>25</v>
      </c>
      <c r="S1089" s="105">
        <v>44208</v>
      </c>
      <c r="T1089" s="106">
        <f t="shared" si="16"/>
        <v>-0.300999999999998</v>
      </c>
    </row>
    <row r="1090" spans="3:20">
      <c r="C1090" s="105">
        <v>44207</v>
      </c>
      <c r="D1090" s="106">
        <v>24.558</v>
      </c>
      <c r="E1090" s="100">
        <v>21.964</v>
      </c>
      <c r="F1090" s="100">
        <v>12</v>
      </c>
      <c r="G1090" s="100">
        <v>-19</v>
      </c>
      <c r="H1090" s="100">
        <v>1</v>
      </c>
      <c r="I1090" s="100">
        <v>-39</v>
      </c>
      <c r="K1090" s="105">
        <v>44207</v>
      </c>
      <c r="L1090" s="100">
        <v>38.866</v>
      </c>
      <c r="M1090" s="106">
        <v>24.378</v>
      </c>
      <c r="N1090" s="100">
        <v>59</v>
      </c>
      <c r="O1090" s="100">
        <v>45</v>
      </c>
      <c r="P1090" s="100">
        <v>66</v>
      </c>
      <c r="Q1090" s="100">
        <v>25</v>
      </c>
      <c r="S1090" s="105">
        <v>44207</v>
      </c>
      <c r="T1090" s="106">
        <f t="shared" si="16"/>
        <v>0.18</v>
      </c>
    </row>
    <row r="1091" spans="3:20">
      <c r="C1091" s="105">
        <v>44204</v>
      </c>
      <c r="D1091" s="106">
        <v>23.508</v>
      </c>
      <c r="E1091" s="100">
        <v>22.053</v>
      </c>
      <c r="F1091" s="100">
        <v>7</v>
      </c>
      <c r="G1091" s="100">
        <v>-19</v>
      </c>
      <c r="H1091" s="100">
        <v>1</v>
      </c>
      <c r="I1091" s="100">
        <v>-39</v>
      </c>
      <c r="K1091" s="105">
        <v>44204</v>
      </c>
      <c r="L1091" s="100">
        <v>38.908</v>
      </c>
      <c r="M1091" s="106">
        <v>24.461</v>
      </c>
      <c r="N1091" s="100">
        <v>59</v>
      </c>
      <c r="O1091" s="100">
        <v>45</v>
      </c>
      <c r="P1091" s="100">
        <v>66</v>
      </c>
      <c r="Q1091" s="100">
        <v>25</v>
      </c>
      <c r="S1091" s="105">
        <v>44204</v>
      </c>
      <c r="T1091" s="106">
        <f t="shared" si="16"/>
        <v>-0.952999999999999</v>
      </c>
    </row>
    <row r="1092" spans="3:20">
      <c r="C1092" s="105">
        <v>44203</v>
      </c>
      <c r="D1092" s="106">
        <v>23.247</v>
      </c>
      <c r="E1092" s="100">
        <v>21.953</v>
      </c>
      <c r="F1092" s="100">
        <v>6</v>
      </c>
      <c r="G1092" s="100">
        <v>-19</v>
      </c>
      <c r="H1092" s="100">
        <v>1</v>
      </c>
      <c r="I1092" s="100">
        <v>-39</v>
      </c>
      <c r="K1092" s="105">
        <v>44203</v>
      </c>
      <c r="L1092" s="100">
        <v>38.113</v>
      </c>
      <c r="M1092" s="106">
        <v>24.261</v>
      </c>
      <c r="N1092" s="100">
        <v>57</v>
      </c>
      <c r="O1092" s="100">
        <v>45</v>
      </c>
      <c r="P1092" s="100">
        <v>66</v>
      </c>
      <c r="Q1092" s="100">
        <v>25</v>
      </c>
      <c r="S1092" s="105">
        <v>44203</v>
      </c>
      <c r="T1092" s="106">
        <f t="shared" si="16"/>
        <v>-1.014</v>
      </c>
    </row>
    <row r="1093" spans="3:20">
      <c r="C1093" s="105">
        <v>44202</v>
      </c>
      <c r="D1093" s="106">
        <v>23.686</v>
      </c>
      <c r="E1093" s="100">
        <v>21.994</v>
      </c>
      <c r="F1093" s="100">
        <v>8</v>
      </c>
      <c r="G1093" s="100">
        <v>-19</v>
      </c>
      <c r="H1093" s="100">
        <v>1</v>
      </c>
      <c r="I1093" s="100">
        <v>-39</v>
      </c>
      <c r="K1093" s="105">
        <v>44202</v>
      </c>
      <c r="L1093" s="100">
        <v>38.62</v>
      </c>
      <c r="M1093" s="106">
        <v>24.369</v>
      </c>
      <c r="N1093" s="100">
        <v>58</v>
      </c>
      <c r="O1093" s="100">
        <v>45</v>
      </c>
      <c r="P1093" s="100">
        <v>66</v>
      </c>
      <c r="Q1093" s="100">
        <v>25</v>
      </c>
      <c r="S1093" s="105">
        <v>44202</v>
      </c>
      <c r="T1093" s="106">
        <f t="shared" si="16"/>
        <v>-0.683</v>
      </c>
    </row>
    <row r="1094" spans="3:20">
      <c r="C1094" s="105">
        <v>44201</v>
      </c>
      <c r="D1094" s="106">
        <v>22.995</v>
      </c>
      <c r="E1094" s="100">
        <v>21.587</v>
      </c>
      <c r="F1094" s="100">
        <v>7</v>
      </c>
      <c r="G1094" s="100">
        <v>-19</v>
      </c>
      <c r="H1094" s="100">
        <v>1</v>
      </c>
      <c r="I1094" s="100">
        <v>-39</v>
      </c>
      <c r="K1094" s="105">
        <v>44201</v>
      </c>
      <c r="L1094" s="100">
        <v>38.222</v>
      </c>
      <c r="M1094" s="106">
        <v>23.963</v>
      </c>
      <c r="N1094" s="100">
        <v>60</v>
      </c>
      <c r="O1094" s="100">
        <v>45</v>
      </c>
      <c r="P1094" s="100">
        <v>66</v>
      </c>
      <c r="Q1094" s="100">
        <v>25</v>
      </c>
      <c r="S1094" s="105">
        <v>44201</v>
      </c>
      <c r="T1094" s="106">
        <f t="shared" si="16"/>
        <v>-0.968</v>
      </c>
    </row>
    <row r="1095" spans="3:20">
      <c r="C1095" s="105">
        <v>44200</v>
      </c>
      <c r="D1095" s="106">
        <v>22.634</v>
      </c>
      <c r="E1095" s="100">
        <v>21.283</v>
      </c>
      <c r="F1095" s="100">
        <v>6</v>
      </c>
      <c r="G1095" s="100">
        <v>-19</v>
      </c>
      <c r="H1095" s="100">
        <v>1</v>
      </c>
      <c r="I1095" s="100">
        <v>-39</v>
      </c>
      <c r="K1095" s="105">
        <v>44200</v>
      </c>
      <c r="L1095" s="100">
        <v>39.195</v>
      </c>
      <c r="M1095" s="106">
        <v>23.842</v>
      </c>
      <c r="N1095" s="100">
        <v>64</v>
      </c>
      <c r="O1095" s="100">
        <v>45</v>
      </c>
      <c r="P1095" s="100">
        <v>66</v>
      </c>
      <c r="Q1095" s="100">
        <v>25</v>
      </c>
      <c r="S1095" s="105">
        <v>44200</v>
      </c>
      <c r="T1095" s="106">
        <f t="shared" si="16"/>
        <v>-1.208</v>
      </c>
    </row>
    <row r="1096" spans="3:20">
      <c r="C1096" s="105">
        <v>44196</v>
      </c>
      <c r="D1096" s="106">
        <v>23.644</v>
      </c>
      <c r="E1096" s="100">
        <v>21.782</v>
      </c>
      <c r="F1096" s="100">
        <v>9</v>
      </c>
      <c r="G1096" s="100">
        <v>-19</v>
      </c>
      <c r="H1096" s="100">
        <v>1</v>
      </c>
      <c r="I1096" s="100">
        <v>-39</v>
      </c>
      <c r="K1096" s="105">
        <v>44196</v>
      </c>
      <c r="L1096" s="100">
        <v>38.153</v>
      </c>
      <c r="M1096" s="106">
        <v>24.121</v>
      </c>
      <c r="N1096" s="100">
        <v>58</v>
      </c>
      <c r="O1096" s="100">
        <v>45</v>
      </c>
      <c r="P1096" s="100">
        <v>66</v>
      </c>
      <c r="Q1096" s="100">
        <v>25</v>
      </c>
      <c r="S1096" s="105">
        <v>44196</v>
      </c>
      <c r="T1096" s="106">
        <f t="shared" si="16"/>
        <v>-0.477</v>
      </c>
    </row>
    <row r="1097" spans="3:20">
      <c r="C1097" s="105">
        <v>44195</v>
      </c>
      <c r="D1097" s="106">
        <v>23.568</v>
      </c>
      <c r="E1097" s="100">
        <v>21.919</v>
      </c>
      <c r="F1097" s="100">
        <v>8</v>
      </c>
      <c r="G1097" s="100">
        <v>-19</v>
      </c>
      <c r="H1097" s="100">
        <v>1</v>
      </c>
      <c r="I1097" s="100">
        <v>-39</v>
      </c>
      <c r="K1097" s="105">
        <v>44195</v>
      </c>
      <c r="L1097" s="100">
        <v>38.556</v>
      </c>
      <c r="M1097" s="106">
        <v>24.296</v>
      </c>
      <c r="N1097" s="100">
        <v>59</v>
      </c>
      <c r="O1097" s="100">
        <v>45</v>
      </c>
      <c r="P1097" s="100">
        <v>66</v>
      </c>
      <c r="Q1097" s="100">
        <v>25</v>
      </c>
      <c r="S1097" s="105">
        <v>44195</v>
      </c>
      <c r="T1097" s="106">
        <f t="shared" si="16"/>
        <v>-0.727999999999998</v>
      </c>
    </row>
    <row r="1098" spans="3:20">
      <c r="C1098" s="105">
        <v>44194</v>
      </c>
      <c r="D1098" s="106">
        <v>23.918</v>
      </c>
      <c r="E1098" s="100">
        <v>22.156</v>
      </c>
      <c r="F1098" s="100">
        <v>8</v>
      </c>
      <c r="G1098" s="100">
        <v>-19</v>
      </c>
      <c r="H1098" s="100">
        <v>1</v>
      </c>
      <c r="I1098" s="100">
        <v>-39</v>
      </c>
      <c r="K1098" s="105">
        <v>44194</v>
      </c>
      <c r="L1098" s="100">
        <v>38.595</v>
      </c>
      <c r="M1098" s="106">
        <v>24.504</v>
      </c>
      <c r="N1098" s="100">
        <v>58</v>
      </c>
      <c r="O1098" s="100">
        <v>45</v>
      </c>
      <c r="P1098" s="100">
        <v>66</v>
      </c>
      <c r="Q1098" s="100">
        <v>25</v>
      </c>
      <c r="S1098" s="105">
        <v>44194</v>
      </c>
      <c r="T1098" s="106">
        <f t="shared" si="16"/>
        <v>-0.586000000000002</v>
      </c>
    </row>
    <row r="1099" spans="3:20">
      <c r="C1099" s="105">
        <v>44189</v>
      </c>
      <c r="D1099" s="106">
        <v>23.503</v>
      </c>
      <c r="E1099" s="100">
        <v>21.944</v>
      </c>
      <c r="F1099" s="100">
        <v>7</v>
      </c>
      <c r="G1099" s="100">
        <v>-19</v>
      </c>
      <c r="H1099" s="100">
        <v>1</v>
      </c>
      <c r="I1099" s="100">
        <v>-39</v>
      </c>
      <c r="K1099" s="105">
        <v>44189</v>
      </c>
      <c r="L1099" s="100">
        <v>37.71</v>
      </c>
      <c r="M1099" s="106">
        <v>24.197</v>
      </c>
      <c r="N1099" s="100">
        <v>56</v>
      </c>
      <c r="O1099" s="100">
        <v>45</v>
      </c>
      <c r="P1099" s="100">
        <v>66</v>
      </c>
      <c r="Q1099" s="100">
        <v>25</v>
      </c>
      <c r="S1099" s="105">
        <v>44189</v>
      </c>
      <c r="T1099" s="106">
        <f t="shared" si="16"/>
        <v>-0.693999999999999</v>
      </c>
    </row>
    <row r="1100" spans="3:20">
      <c r="C1100" s="105">
        <v>44188</v>
      </c>
      <c r="D1100" s="106">
        <v>23.583</v>
      </c>
      <c r="E1100" s="100">
        <v>21.975</v>
      </c>
      <c r="F1100" s="100">
        <v>7</v>
      </c>
      <c r="G1100" s="100">
        <v>-19</v>
      </c>
      <c r="H1100" s="100">
        <v>1</v>
      </c>
      <c r="I1100" s="100">
        <v>-39</v>
      </c>
      <c r="K1100" s="105">
        <v>44188</v>
      </c>
      <c r="L1100" s="100">
        <v>37.825</v>
      </c>
      <c r="M1100" s="106">
        <v>24.239</v>
      </c>
      <c r="N1100" s="100">
        <v>56</v>
      </c>
      <c r="O1100" s="100">
        <v>45</v>
      </c>
      <c r="P1100" s="100">
        <v>66</v>
      </c>
      <c r="Q1100" s="100">
        <v>25</v>
      </c>
      <c r="S1100" s="105">
        <v>44188</v>
      </c>
      <c r="T1100" s="106">
        <f t="shared" si="16"/>
        <v>-0.656000000000002</v>
      </c>
    </row>
    <row r="1101" spans="3:20">
      <c r="C1101" s="105">
        <v>44187</v>
      </c>
      <c r="D1101" s="106">
        <v>22.601</v>
      </c>
      <c r="E1101" s="100">
        <v>21.651</v>
      </c>
      <c r="F1101" s="100">
        <v>4</v>
      </c>
      <c r="G1101" s="100">
        <v>-19</v>
      </c>
      <c r="H1101" s="100">
        <v>1</v>
      </c>
      <c r="I1101" s="100">
        <v>-39</v>
      </c>
      <c r="K1101" s="105">
        <v>44187</v>
      </c>
      <c r="L1101" s="100">
        <v>37.983</v>
      </c>
      <c r="M1101" s="106">
        <v>23.984</v>
      </c>
      <c r="N1101" s="100">
        <v>58</v>
      </c>
      <c r="O1101" s="100">
        <v>45</v>
      </c>
      <c r="P1101" s="100">
        <v>66</v>
      </c>
      <c r="Q1101" s="100">
        <v>25</v>
      </c>
      <c r="S1101" s="105">
        <v>44187</v>
      </c>
      <c r="T1101" s="106">
        <f t="shared" si="16"/>
        <v>-1.383</v>
      </c>
    </row>
    <row r="1102" spans="3:20">
      <c r="C1102" s="105">
        <v>44186</v>
      </c>
      <c r="D1102" s="106">
        <v>21.934</v>
      </c>
      <c r="E1102" s="100">
        <v>21.308</v>
      </c>
      <c r="F1102" s="100">
        <v>3</v>
      </c>
      <c r="G1102" s="100">
        <v>-19</v>
      </c>
      <c r="H1102" s="100">
        <v>1</v>
      </c>
      <c r="I1102" s="100">
        <v>-39</v>
      </c>
      <c r="K1102" s="105">
        <v>44186</v>
      </c>
      <c r="L1102" s="100">
        <v>37.571</v>
      </c>
      <c r="M1102" s="106">
        <v>23.631</v>
      </c>
      <c r="N1102" s="100">
        <v>59</v>
      </c>
      <c r="O1102" s="100">
        <v>45</v>
      </c>
      <c r="P1102" s="100">
        <v>66</v>
      </c>
      <c r="Q1102" s="100">
        <v>25</v>
      </c>
      <c r="S1102" s="105">
        <v>44186</v>
      </c>
      <c r="T1102" s="106">
        <f t="shared" si="16"/>
        <v>-1.697</v>
      </c>
    </row>
    <row r="1103" spans="3:20">
      <c r="C1103" s="105">
        <v>44183</v>
      </c>
      <c r="D1103" s="106">
        <v>22.642</v>
      </c>
      <c r="E1103" s="100">
        <v>22.278</v>
      </c>
      <c r="F1103" s="100">
        <v>2</v>
      </c>
      <c r="G1103" s="100">
        <v>-19</v>
      </c>
      <c r="H1103" s="100">
        <v>1</v>
      </c>
      <c r="I1103" s="100">
        <v>-39</v>
      </c>
      <c r="K1103" s="105">
        <v>44183</v>
      </c>
      <c r="L1103" s="100">
        <v>37.838</v>
      </c>
      <c r="M1103" s="106">
        <v>24.501</v>
      </c>
      <c r="N1103" s="100">
        <v>54</v>
      </c>
      <c r="O1103" s="100">
        <v>45</v>
      </c>
      <c r="P1103" s="100">
        <v>66</v>
      </c>
      <c r="Q1103" s="100">
        <v>25</v>
      </c>
      <c r="S1103" s="105">
        <v>44183</v>
      </c>
      <c r="T1103" s="106">
        <f t="shared" si="16"/>
        <v>-1.859</v>
      </c>
    </row>
    <row r="1104" spans="3:20">
      <c r="C1104" s="105">
        <v>44182</v>
      </c>
      <c r="D1104" s="106">
        <v>23.523</v>
      </c>
      <c r="E1104" s="100">
        <v>22.732</v>
      </c>
      <c r="F1104" s="100">
        <v>3</v>
      </c>
      <c r="G1104" s="100">
        <v>-19</v>
      </c>
      <c r="H1104" s="100">
        <v>1</v>
      </c>
      <c r="I1104" s="100">
        <v>-39</v>
      </c>
      <c r="K1104" s="105">
        <v>44182</v>
      </c>
      <c r="L1104" s="100">
        <v>37.682</v>
      </c>
      <c r="M1104" s="106">
        <v>24.868</v>
      </c>
      <c r="N1104" s="100">
        <v>52</v>
      </c>
      <c r="O1104" s="100">
        <v>45</v>
      </c>
      <c r="P1104" s="100">
        <v>66</v>
      </c>
      <c r="Q1104" s="100">
        <v>25</v>
      </c>
      <c r="S1104" s="105">
        <v>44182</v>
      </c>
      <c r="T1104" s="106">
        <f t="shared" si="16"/>
        <v>-1.345</v>
      </c>
    </row>
    <row r="1105" spans="3:20">
      <c r="C1105" s="105">
        <v>44181</v>
      </c>
      <c r="D1105" s="106">
        <v>23.655</v>
      </c>
      <c r="E1105" s="100">
        <v>22.756</v>
      </c>
      <c r="F1105" s="100">
        <v>4</v>
      </c>
      <c r="G1105" s="100">
        <v>-19</v>
      </c>
      <c r="H1105" s="100">
        <v>1</v>
      </c>
      <c r="I1105" s="100">
        <v>-39</v>
      </c>
      <c r="K1105" s="105">
        <v>44181</v>
      </c>
      <c r="L1105" s="100">
        <v>37.459</v>
      </c>
      <c r="M1105" s="106">
        <v>24.856</v>
      </c>
      <c r="N1105" s="100">
        <v>51</v>
      </c>
      <c r="O1105" s="100">
        <v>45</v>
      </c>
      <c r="P1105" s="100">
        <v>66</v>
      </c>
      <c r="Q1105" s="100">
        <v>25</v>
      </c>
      <c r="S1105" s="105">
        <v>44181</v>
      </c>
      <c r="T1105" s="106">
        <f t="shared" si="16"/>
        <v>-1.201</v>
      </c>
    </row>
    <row r="1106" spans="3:20">
      <c r="C1106" s="105">
        <v>44180</v>
      </c>
      <c r="D1106" s="106">
        <v>22.839</v>
      </c>
      <c r="E1106" s="100">
        <v>22.663</v>
      </c>
      <c r="F1106" s="100">
        <v>1</v>
      </c>
      <c r="G1106" s="100">
        <v>-19</v>
      </c>
      <c r="H1106" s="100">
        <v>1</v>
      </c>
      <c r="I1106" s="100">
        <v>-39</v>
      </c>
      <c r="K1106" s="105">
        <v>44180</v>
      </c>
      <c r="L1106" s="100">
        <v>37.567</v>
      </c>
      <c r="M1106" s="106">
        <v>24.792</v>
      </c>
      <c r="N1106" s="100">
        <v>52</v>
      </c>
      <c r="O1106" s="100">
        <v>45</v>
      </c>
      <c r="P1106" s="100">
        <v>66</v>
      </c>
      <c r="Q1106" s="100">
        <v>25</v>
      </c>
      <c r="S1106" s="105">
        <v>44180</v>
      </c>
      <c r="T1106" s="106">
        <f t="shared" si="16"/>
        <v>-1.953</v>
      </c>
    </row>
    <row r="1107" spans="3:20">
      <c r="C1107" s="105">
        <v>44179</v>
      </c>
      <c r="D1107" s="106">
        <v>22.475</v>
      </c>
      <c r="E1107" s="100">
        <v>22.584</v>
      </c>
      <c r="F1107" s="100">
        <v>0</v>
      </c>
      <c r="G1107" s="100">
        <v>-19</v>
      </c>
      <c r="H1107" s="100">
        <v>1</v>
      </c>
      <c r="I1107" s="100">
        <v>-39</v>
      </c>
      <c r="K1107" s="105">
        <v>44179</v>
      </c>
      <c r="L1107" s="100">
        <v>37.029</v>
      </c>
      <c r="M1107" s="106">
        <v>24.647</v>
      </c>
      <c r="N1107" s="100">
        <v>50</v>
      </c>
      <c r="O1107" s="100">
        <v>45</v>
      </c>
      <c r="P1107" s="100">
        <v>66</v>
      </c>
      <c r="Q1107" s="100">
        <v>25</v>
      </c>
      <c r="S1107" s="105">
        <v>44179</v>
      </c>
      <c r="T1107" s="106">
        <f t="shared" si="16"/>
        <v>-2.172</v>
      </c>
    </row>
    <row r="1108" spans="3:20">
      <c r="C1108" s="105">
        <v>44176</v>
      </c>
      <c r="D1108" s="106">
        <v>21.409</v>
      </c>
      <c r="E1108" s="100">
        <v>22.551</v>
      </c>
      <c r="F1108" s="100">
        <v>-5</v>
      </c>
      <c r="G1108" s="100">
        <v>-19</v>
      </c>
      <c r="H1108" s="100">
        <v>1</v>
      </c>
      <c r="I1108" s="100">
        <v>-39</v>
      </c>
      <c r="K1108" s="105">
        <v>44176</v>
      </c>
      <c r="L1108" s="100">
        <v>35.358</v>
      </c>
      <c r="M1108" s="106">
        <v>24.381</v>
      </c>
      <c r="N1108" s="100">
        <v>45</v>
      </c>
      <c r="O1108" s="100">
        <v>45</v>
      </c>
      <c r="P1108" s="100">
        <v>66</v>
      </c>
      <c r="Q1108" s="100">
        <v>25</v>
      </c>
      <c r="S1108" s="105">
        <v>44176</v>
      </c>
      <c r="T1108" s="106">
        <f t="shared" si="16"/>
        <v>-2.972</v>
      </c>
    </row>
    <row r="1109" spans="3:20">
      <c r="C1109" s="105">
        <v>44175</v>
      </c>
      <c r="D1109" s="106">
        <v>22.419</v>
      </c>
      <c r="E1109" s="100">
        <v>23.64</v>
      </c>
      <c r="F1109" s="100">
        <v>-5</v>
      </c>
      <c r="G1109" s="100">
        <v>-19</v>
      </c>
      <c r="H1109" s="100">
        <v>1</v>
      </c>
      <c r="I1109" s="100">
        <v>-39</v>
      </c>
      <c r="K1109" s="105">
        <v>44175</v>
      </c>
      <c r="L1109" s="100">
        <v>36.012</v>
      </c>
      <c r="M1109" s="106">
        <v>25.407</v>
      </c>
      <c r="N1109" s="100">
        <v>42</v>
      </c>
      <c r="O1109" s="100">
        <v>45</v>
      </c>
      <c r="P1109" s="100">
        <v>66</v>
      </c>
      <c r="Q1109" s="100">
        <v>25</v>
      </c>
      <c r="S1109" s="105">
        <v>44175</v>
      </c>
      <c r="T1109" s="106">
        <f t="shared" si="16"/>
        <v>-2.988</v>
      </c>
    </row>
    <row r="1110" spans="3:20">
      <c r="C1110" s="105">
        <v>44174</v>
      </c>
      <c r="D1110" s="106">
        <v>23.081</v>
      </c>
      <c r="E1110" s="100">
        <v>23.321</v>
      </c>
      <c r="F1110" s="100">
        <v>-1</v>
      </c>
      <c r="G1110" s="100">
        <v>-19</v>
      </c>
      <c r="H1110" s="100">
        <v>1</v>
      </c>
      <c r="I1110" s="100">
        <v>-39</v>
      </c>
      <c r="K1110" s="105">
        <v>44174</v>
      </c>
      <c r="L1110" s="100">
        <v>35.954</v>
      </c>
      <c r="M1110" s="106">
        <v>25.126</v>
      </c>
      <c r="N1110" s="100">
        <v>43</v>
      </c>
      <c r="O1110" s="100">
        <v>45</v>
      </c>
      <c r="P1110" s="100">
        <v>66</v>
      </c>
      <c r="Q1110" s="100">
        <v>25</v>
      </c>
      <c r="S1110" s="105">
        <v>44174</v>
      </c>
      <c r="T1110" s="106">
        <f t="shared" ref="T1110:T1173" si="17">D1110-M1110</f>
        <v>-2.045</v>
      </c>
    </row>
    <row r="1111" spans="3:20">
      <c r="C1111" s="105">
        <v>44173</v>
      </c>
      <c r="D1111" s="106">
        <v>22.539</v>
      </c>
      <c r="E1111" s="100">
        <v>23.086</v>
      </c>
      <c r="F1111" s="100">
        <v>-2</v>
      </c>
      <c r="G1111" s="100">
        <v>-19</v>
      </c>
      <c r="H1111" s="100">
        <v>1</v>
      </c>
      <c r="I1111" s="100">
        <v>-39</v>
      </c>
      <c r="K1111" s="105">
        <v>44173</v>
      </c>
      <c r="L1111" s="100">
        <v>36.245</v>
      </c>
      <c r="M1111" s="106">
        <v>24.966</v>
      </c>
      <c r="N1111" s="100">
        <v>45</v>
      </c>
      <c r="O1111" s="100">
        <v>45</v>
      </c>
      <c r="P1111" s="100">
        <v>66</v>
      </c>
      <c r="Q1111" s="100">
        <v>25</v>
      </c>
      <c r="S1111" s="105">
        <v>44173</v>
      </c>
      <c r="T1111" s="106">
        <f t="shared" si="17"/>
        <v>-2.427</v>
      </c>
    </row>
    <row r="1112" spans="3:20">
      <c r="C1112" s="105">
        <v>44172</v>
      </c>
      <c r="D1112" s="106">
        <v>22.608</v>
      </c>
      <c r="E1112" s="100">
        <v>23.533</v>
      </c>
      <c r="F1112" s="100">
        <v>-4</v>
      </c>
      <c r="G1112" s="100">
        <v>-19</v>
      </c>
      <c r="H1112" s="100">
        <v>1</v>
      </c>
      <c r="I1112" s="100">
        <v>-39</v>
      </c>
      <c r="K1112" s="105">
        <v>44172</v>
      </c>
      <c r="L1112" s="100">
        <v>36.245</v>
      </c>
      <c r="M1112" s="106">
        <v>25.349</v>
      </c>
      <c r="N1112" s="100">
        <v>43</v>
      </c>
      <c r="O1112" s="100">
        <v>45</v>
      </c>
      <c r="P1112" s="100">
        <v>66</v>
      </c>
      <c r="Q1112" s="100">
        <v>25</v>
      </c>
      <c r="S1112" s="105">
        <v>44172</v>
      </c>
      <c r="T1112" s="106">
        <f t="shared" si="17"/>
        <v>-2.741</v>
      </c>
    </row>
    <row r="1113" spans="3:20">
      <c r="C1113" s="105">
        <v>44169</v>
      </c>
      <c r="D1113" s="106">
        <v>23.434</v>
      </c>
      <c r="E1113" s="100">
        <v>23.898</v>
      </c>
      <c r="F1113" s="100">
        <v>-2</v>
      </c>
      <c r="G1113" s="100">
        <v>-19</v>
      </c>
      <c r="H1113" s="100">
        <v>1</v>
      </c>
      <c r="I1113" s="100">
        <v>-39</v>
      </c>
      <c r="K1113" s="105">
        <v>44169</v>
      </c>
      <c r="L1113" s="100">
        <v>35.931</v>
      </c>
      <c r="M1113" s="106">
        <v>25.617</v>
      </c>
      <c r="N1113" s="100">
        <v>40</v>
      </c>
      <c r="O1113" s="100">
        <v>45</v>
      </c>
      <c r="P1113" s="100">
        <v>66</v>
      </c>
      <c r="Q1113" s="100">
        <v>25</v>
      </c>
      <c r="S1113" s="105">
        <v>44169</v>
      </c>
      <c r="T1113" s="106">
        <f t="shared" si="17"/>
        <v>-2.183</v>
      </c>
    </row>
    <row r="1114" spans="3:20">
      <c r="C1114" s="105">
        <v>44168</v>
      </c>
      <c r="D1114" s="106">
        <v>23.563</v>
      </c>
      <c r="E1114" s="100">
        <v>23.947</v>
      </c>
      <c r="F1114" s="100">
        <v>-2</v>
      </c>
      <c r="G1114" s="100">
        <v>-19</v>
      </c>
      <c r="H1114" s="100">
        <v>1</v>
      </c>
      <c r="I1114" s="100">
        <v>-39</v>
      </c>
      <c r="K1114" s="105">
        <v>44168</v>
      </c>
      <c r="L1114" s="100">
        <v>36.113</v>
      </c>
      <c r="M1114" s="106">
        <v>25.685</v>
      </c>
      <c r="N1114" s="100">
        <v>41</v>
      </c>
      <c r="O1114" s="100">
        <v>45</v>
      </c>
      <c r="P1114" s="100">
        <v>66</v>
      </c>
      <c r="Q1114" s="100">
        <v>25</v>
      </c>
      <c r="S1114" s="105">
        <v>44168</v>
      </c>
      <c r="T1114" s="106">
        <f t="shared" si="17"/>
        <v>-2.122</v>
      </c>
    </row>
    <row r="1115" spans="3:20">
      <c r="C1115" s="105">
        <v>44167</v>
      </c>
      <c r="D1115" s="106">
        <v>23.07</v>
      </c>
      <c r="E1115" s="100">
        <v>23.739</v>
      </c>
      <c r="F1115" s="100">
        <v>-3</v>
      </c>
      <c r="G1115" s="100">
        <v>-19</v>
      </c>
      <c r="H1115" s="100">
        <v>1</v>
      </c>
      <c r="I1115" s="100">
        <v>-39</v>
      </c>
      <c r="K1115" s="105">
        <v>44167</v>
      </c>
      <c r="L1115" s="100">
        <v>36.921</v>
      </c>
      <c r="M1115" s="106">
        <v>25.622</v>
      </c>
      <c r="N1115" s="100">
        <v>44</v>
      </c>
      <c r="O1115" s="100">
        <v>45</v>
      </c>
      <c r="P1115" s="100">
        <v>66</v>
      </c>
      <c r="Q1115" s="100">
        <v>25</v>
      </c>
      <c r="S1115" s="105">
        <v>44167</v>
      </c>
      <c r="T1115" s="106">
        <f t="shared" si="17"/>
        <v>-2.552</v>
      </c>
    </row>
    <row r="1116" spans="3:20">
      <c r="C1116" s="105">
        <v>44166</v>
      </c>
      <c r="D1116" s="106">
        <v>23.318</v>
      </c>
      <c r="E1116" s="100">
        <v>23.954</v>
      </c>
      <c r="F1116" s="100">
        <v>-3</v>
      </c>
      <c r="G1116" s="100">
        <v>-19</v>
      </c>
      <c r="H1116" s="100">
        <v>1</v>
      </c>
      <c r="I1116" s="100">
        <v>-39</v>
      </c>
      <c r="K1116" s="105">
        <v>44166</v>
      </c>
      <c r="L1116" s="100">
        <v>33.718</v>
      </c>
      <c r="M1116" s="106">
        <v>25.349</v>
      </c>
      <c r="N1116" s="100">
        <v>33</v>
      </c>
      <c r="O1116" s="100">
        <v>45</v>
      </c>
      <c r="P1116" s="100">
        <v>66</v>
      </c>
      <c r="Q1116" s="100">
        <v>25</v>
      </c>
      <c r="S1116" s="105">
        <v>44166</v>
      </c>
      <c r="T1116" s="106">
        <f t="shared" si="17"/>
        <v>-2.031</v>
      </c>
    </row>
    <row r="1117" spans="3:20">
      <c r="C1117" s="105">
        <v>44165</v>
      </c>
      <c r="D1117" s="106">
        <v>22.408</v>
      </c>
      <c r="E1117" s="100">
        <v>23.403</v>
      </c>
      <c r="F1117" s="100">
        <v>-4</v>
      </c>
      <c r="G1117" s="100">
        <v>-19</v>
      </c>
      <c r="H1117" s="100">
        <v>1</v>
      </c>
      <c r="I1117" s="100">
        <v>-39</v>
      </c>
      <c r="K1117" s="105">
        <v>44165</v>
      </c>
      <c r="L1117" s="100">
        <v>34.227</v>
      </c>
      <c r="M1117" s="106">
        <v>24.949</v>
      </c>
      <c r="N1117" s="100">
        <v>37</v>
      </c>
      <c r="O1117" s="100">
        <v>45</v>
      </c>
      <c r="P1117" s="100">
        <v>66</v>
      </c>
      <c r="Q1117" s="100">
        <v>25</v>
      </c>
      <c r="S1117" s="105">
        <v>44165</v>
      </c>
      <c r="T1117" s="106">
        <f t="shared" si="17"/>
        <v>-2.541</v>
      </c>
    </row>
    <row r="1118" spans="3:20">
      <c r="C1118" s="105">
        <v>44162</v>
      </c>
      <c r="D1118" s="106">
        <v>21.152</v>
      </c>
      <c r="E1118" s="100">
        <v>23.61</v>
      </c>
      <c r="F1118" s="100">
        <v>-10</v>
      </c>
      <c r="G1118" s="100">
        <v>-19</v>
      </c>
      <c r="H1118" s="100">
        <v>1</v>
      </c>
      <c r="I1118" s="100">
        <v>-39</v>
      </c>
      <c r="K1118" s="105">
        <v>44162</v>
      </c>
      <c r="L1118" s="100">
        <v>34.406</v>
      </c>
      <c r="M1118" s="106">
        <v>25.152</v>
      </c>
      <c r="N1118" s="100">
        <v>37</v>
      </c>
      <c r="O1118" s="100">
        <v>45</v>
      </c>
      <c r="P1118" s="100">
        <v>66</v>
      </c>
      <c r="Q1118" s="100">
        <v>25</v>
      </c>
      <c r="S1118" s="105">
        <v>44162</v>
      </c>
      <c r="T1118" s="106">
        <f t="shared" si="17"/>
        <v>-4</v>
      </c>
    </row>
    <row r="1119" spans="3:20">
      <c r="C1119" s="105">
        <v>44161</v>
      </c>
      <c r="D1119" s="106">
        <v>21.132</v>
      </c>
      <c r="E1119" s="100">
        <v>23.823</v>
      </c>
      <c r="F1119" s="100">
        <v>-11</v>
      </c>
      <c r="G1119" s="100">
        <v>-19</v>
      </c>
      <c r="H1119" s="100">
        <v>1</v>
      </c>
      <c r="I1119" s="100">
        <v>-39</v>
      </c>
      <c r="K1119" s="105">
        <v>44161</v>
      </c>
      <c r="L1119" s="100">
        <v>34.108</v>
      </c>
      <c r="M1119" s="106">
        <v>25.293</v>
      </c>
      <c r="N1119" s="100">
        <v>35</v>
      </c>
      <c r="O1119" s="100">
        <v>45</v>
      </c>
      <c r="P1119" s="100">
        <v>66</v>
      </c>
      <c r="Q1119" s="100">
        <v>25</v>
      </c>
      <c r="S1119" s="105">
        <v>44161</v>
      </c>
      <c r="T1119" s="106">
        <f t="shared" si="17"/>
        <v>-4.161</v>
      </c>
    </row>
    <row r="1120" spans="3:20">
      <c r="C1120" s="105">
        <v>44160</v>
      </c>
      <c r="D1120" s="106">
        <v>21.545</v>
      </c>
      <c r="E1120" s="100">
        <v>24.114</v>
      </c>
      <c r="F1120" s="100">
        <v>-11</v>
      </c>
      <c r="G1120" s="100">
        <v>-19</v>
      </c>
      <c r="H1120" s="100">
        <v>1</v>
      </c>
      <c r="I1120" s="100">
        <v>-39</v>
      </c>
      <c r="K1120" s="105">
        <v>44160</v>
      </c>
      <c r="L1120" s="100">
        <v>33.594</v>
      </c>
      <c r="M1120" s="106">
        <v>25.468</v>
      </c>
      <c r="N1120" s="100">
        <v>32</v>
      </c>
      <c r="O1120" s="100">
        <v>45</v>
      </c>
      <c r="P1120" s="100">
        <v>66</v>
      </c>
      <c r="Q1120" s="100">
        <v>25</v>
      </c>
      <c r="S1120" s="105">
        <v>44160</v>
      </c>
      <c r="T1120" s="106">
        <f t="shared" si="17"/>
        <v>-3.923</v>
      </c>
    </row>
    <row r="1121" spans="3:20">
      <c r="C1121" s="105">
        <v>44159</v>
      </c>
      <c r="D1121" s="106">
        <v>22.018</v>
      </c>
      <c r="E1121" s="100">
        <v>24.315</v>
      </c>
      <c r="F1121" s="100">
        <v>-9</v>
      </c>
      <c r="G1121" s="100">
        <v>-19</v>
      </c>
      <c r="H1121" s="100">
        <v>1</v>
      </c>
      <c r="I1121" s="100">
        <v>-39</v>
      </c>
      <c r="K1121" s="105">
        <v>44159</v>
      </c>
      <c r="L1121" s="100">
        <v>33.132</v>
      </c>
      <c r="M1121" s="106">
        <v>25.574</v>
      </c>
      <c r="N1121" s="100">
        <v>30</v>
      </c>
      <c r="O1121" s="100">
        <v>45</v>
      </c>
      <c r="P1121" s="100">
        <v>66</v>
      </c>
      <c r="Q1121" s="100">
        <v>25</v>
      </c>
      <c r="S1121" s="105">
        <v>44159</v>
      </c>
      <c r="T1121" s="106">
        <f t="shared" si="17"/>
        <v>-3.556</v>
      </c>
    </row>
    <row r="1122" spans="3:20">
      <c r="C1122" s="105">
        <v>44158</v>
      </c>
      <c r="D1122" s="106">
        <v>23.583</v>
      </c>
      <c r="E1122" s="100">
        <v>24.262</v>
      </c>
      <c r="F1122" s="100">
        <v>-3</v>
      </c>
      <c r="G1122" s="100">
        <v>-19</v>
      </c>
      <c r="H1122" s="100">
        <v>1</v>
      </c>
      <c r="I1122" s="100">
        <v>-39</v>
      </c>
      <c r="K1122" s="105">
        <v>44158</v>
      </c>
      <c r="L1122" s="100">
        <v>34.315</v>
      </c>
      <c r="M1122" s="106">
        <v>25.698</v>
      </c>
      <c r="N1122" s="100">
        <v>34</v>
      </c>
      <c r="O1122" s="100">
        <v>45</v>
      </c>
      <c r="P1122" s="100">
        <v>66</v>
      </c>
      <c r="Q1122" s="100">
        <v>25</v>
      </c>
      <c r="S1122" s="105">
        <v>44158</v>
      </c>
      <c r="T1122" s="106">
        <f t="shared" si="17"/>
        <v>-2.115</v>
      </c>
    </row>
    <row r="1123" spans="3:20">
      <c r="C1123" s="105">
        <v>44155</v>
      </c>
      <c r="D1123" s="106">
        <v>23.945</v>
      </c>
      <c r="E1123" s="100">
        <v>24.228</v>
      </c>
      <c r="F1123" s="100">
        <v>-1</v>
      </c>
      <c r="G1123" s="100">
        <v>-19</v>
      </c>
      <c r="H1123" s="100">
        <v>1</v>
      </c>
      <c r="I1123" s="100">
        <v>-39</v>
      </c>
      <c r="K1123" s="105">
        <v>44155</v>
      </c>
      <c r="L1123" s="100">
        <v>35.422</v>
      </c>
      <c r="M1123" s="106">
        <v>25.828</v>
      </c>
      <c r="N1123" s="100">
        <v>37</v>
      </c>
      <c r="O1123" s="100">
        <v>45</v>
      </c>
      <c r="P1123" s="100">
        <v>66</v>
      </c>
      <c r="Q1123" s="100">
        <v>25</v>
      </c>
      <c r="S1123" s="105">
        <v>44155</v>
      </c>
      <c r="T1123" s="106">
        <f t="shared" si="17"/>
        <v>-1.883</v>
      </c>
    </row>
    <row r="1124" spans="3:20">
      <c r="C1124" s="105">
        <v>44154</v>
      </c>
      <c r="D1124" s="106">
        <v>23.328</v>
      </c>
      <c r="E1124" s="100">
        <v>24.054</v>
      </c>
      <c r="F1124" s="100">
        <v>-3</v>
      </c>
      <c r="G1124" s="100">
        <v>-19</v>
      </c>
      <c r="H1124" s="100">
        <v>1</v>
      </c>
      <c r="I1124" s="100">
        <v>-39</v>
      </c>
      <c r="K1124" s="105">
        <v>44154</v>
      </c>
      <c r="L1124" s="100">
        <v>35.144</v>
      </c>
      <c r="M1124" s="106">
        <v>25.639</v>
      </c>
      <c r="N1124" s="100">
        <v>37</v>
      </c>
      <c r="O1124" s="100">
        <v>45</v>
      </c>
      <c r="P1124" s="100">
        <v>66</v>
      </c>
      <c r="Q1124" s="100">
        <v>25</v>
      </c>
      <c r="S1124" s="105">
        <v>44154</v>
      </c>
      <c r="T1124" s="106">
        <f t="shared" si="17"/>
        <v>-2.311</v>
      </c>
    </row>
    <row r="1125" spans="3:20">
      <c r="C1125" s="105">
        <v>44153</v>
      </c>
      <c r="D1125" s="106">
        <v>23.532</v>
      </c>
      <c r="E1125" s="100">
        <v>24.339</v>
      </c>
      <c r="F1125" s="100">
        <v>-3</v>
      </c>
      <c r="G1125" s="100">
        <v>-19</v>
      </c>
      <c r="H1125" s="100">
        <v>1</v>
      </c>
      <c r="I1125" s="100">
        <v>-39</v>
      </c>
      <c r="K1125" s="105">
        <v>44153</v>
      </c>
      <c r="L1125" s="100">
        <v>35.199</v>
      </c>
      <c r="M1125" s="106">
        <v>25.891</v>
      </c>
      <c r="N1125" s="100">
        <v>36</v>
      </c>
      <c r="O1125" s="100">
        <v>45</v>
      </c>
      <c r="P1125" s="100">
        <v>66</v>
      </c>
      <c r="Q1125" s="100">
        <v>25</v>
      </c>
      <c r="S1125" s="105">
        <v>44153</v>
      </c>
      <c r="T1125" s="106">
        <f t="shared" si="17"/>
        <v>-2.359</v>
      </c>
    </row>
    <row r="1126" spans="3:20">
      <c r="C1126" s="105">
        <v>44152</v>
      </c>
      <c r="D1126" s="106">
        <v>22.972</v>
      </c>
      <c r="E1126" s="100">
        <v>24.388</v>
      </c>
      <c r="F1126" s="100">
        <v>-6</v>
      </c>
      <c r="G1126" s="100">
        <v>-19</v>
      </c>
      <c r="H1126" s="100">
        <v>1</v>
      </c>
      <c r="I1126" s="100">
        <v>-39</v>
      </c>
      <c r="K1126" s="105">
        <v>44152</v>
      </c>
      <c r="L1126" s="100">
        <v>34.542</v>
      </c>
      <c r="M1126" s="106">
        <v>25.839</v>
      </c>
      <c r="N1126" s="100">
        <v>34</v>
      </c>
      <c r="O1126" s="100">
        <v>45</v>
      </c>
      <c r="P1126" s="100">
        <v>66</v>
      </c>
      <c r="Q1126" s="100">
        <v>25</v>
      </c>
      <c r="S1126" s="105">
        <v>44152</v>
      </c>
      <c r="T1126" s="106">
        <f t="shared" si="17"/>
        <v>-2.867</v>
      </c>
    </row>
    <row r="1127" spans="3:20">
      <c r="C1127" s="105">
        <v>44151</v>
      </c>
      <c r="D1127" s="106">
        <v>23.726</v>
      </c>
      <c r="E1127" s="100">
        <v>24.649</v>
      </c>
      <c r="F1127" s="100">
        <v>-4</v>
      </c>
      <c r="G1127" s="100">
        <v>-19</v>
      </c>
      <c r="H1127" s="100">
        <v>1</v>
      </c>
      <c r="I1127" s="100">
        <v>-39</v>
      </c>
      <c r="K1127" s="105">
        <v>44151</v>
      </c>
      <c r="L1127" s="100">
        <v>36.53</v>
      </c>
      <c r="M1127" s="106">
        <v>26.347</v>
      </c>
      <c r="N1127" s="100">
        <v>39</v>
      </c>
      <c r="O1127" s="100">
        <v>45</v>
      </c>
      <c r="P1127" s="100">
        <v>66</v>
      </c>
      <c r="Q1127" s="100">
        <v>25</v>
      </c>
      <c r="S1127" s="105">
        <v>44151</v>
      </c>
      <c r="T1127" s="106">
        <f t="shared" si="17"/>
        <v>-2.621</v>
      </c>
    </row>
    <row r="1128" spans="3:20">
      <c r="C1128" s="105">
        <v>44148</v>
      </c>
      <c r="D1128" s="106">
        <v>23.711</v>
      </c>
      <c r="E1128" s="100">
        <v>24.233</v>
      </c>
      <c r="F1128" s="100">
        <v>-2</v>
      </c>
      <c r="G1128" s="100">
        <v>-19</v>
      </c>
      <c r="H1128" s="100">
        <v>1</v>
      </c>
      <c r="I1128" s="100">
        <v>-39</v>
      </c>
      <c r="K1128" s="105">
        <v>44148</v>
      </c>
      <c r="L1128" s="100">
        <v>37.125</v>
      </c>
      <c r="M1128" s="106">
        <v>26.075</v>
      </c>
      <c r="N1128" s="100">
        <v>42</v>
      </c>
      <c r="O1128" s="100">
        <v>45</v>
      </c>
      <c r="P1128" s="100">
        <v>66</v>
      </c>
      <c r="Q1128" s="100">
        <v>25</v>
      </c>
      <c r="S1128" s="105">
        <v>44148</v>
      </c>
      <c r="T1128" s="106">
        <f t="shared" si="17"/>
        <v>-2.364</v>
      </c>
    </row>
    <row r="1129" spans="3:20">
      <c r="C1129" s="105">
        <v>44147</v>
      </c>
      <c r="D1129" s="106">
        <v>23.769</v>
      </c>
      <c r="E1129" s="100">
        <v>24.262</v>
      </c>
      <c r="F1129" s="100">
        <v>-2</v>
      </c>
      <c r="G1129" s="100">
        <v>-19</v>
      </c>
      <c r="H1129" s="100">
        <v>1</v>
      </c>
      <c r="I1129" s="100">
        <v>-39</v>
      </c>
      <c r="K1129" s="105">
        <v>44147</v>
      </c>
      <c r="L1129" s="100">
        <v>37.945</v>
      </c>
      <c r="M1129" s="106">
        <v>26.217</v>
      </c>
      <c r="N1129" s="100">
        <v>45</v>
      </c>
      <c r="O1129" s="100">
        <v>45</v>
      </c>
      <c r="P1129" s="100">
        <v>66</v>
      </c>
      <c r="Q1129" s="100">
        <v>25</v>
      </c>
      <c r="S1129" s="105">
        <v>44147</v>
      </c>
      <c r="T1129" s="106">
        <f t="shared" si="17"/>
        <v>-2.448</v>
      </c>
    </row>
    <row r="1130" spans="3:20">
      <c r="C1130" s="105">
        <v>44146</v>
      </c>
      <c r="D1130" s="106">
        <v>24.099</v>
      </c>
      <c r="E1130" s="100">
        <v>24.722</v>
      </c>
      <c r="F1130" s="100">
        <v>-3</v>
      </c>
      <c r="G1130" s="100">
        <v>-19</v>
      </c>
      <c r="H1130" s="100">
        <v>1</v>
      </c>
      <c r="I1130" s="100">
        <v>-39</v>
      </c>
      <c r="K1130" s="105">
        <v>44146</v>
      </c>
      <c r="L1130" s="100">
        <v>37.511</v>
      </c>
      <c r="M1130" s="106">
        <v>26.549</v>
      </c>
      <c r="N1130" s="100">
        <v>41</v>
      </c>
      <c r="O1130" s="100">
        <v>45</v>
      </c>
      <c r="P1130" s="100">
        <v>66</v>
      </c>
      <c r="Q1130" s="100">
        <v>25</v>
      </c>
      <c r="S1130" s="105">
        <v>44146</v>
      </c>
      <c r="T1130" s="106">
        <f t="shared" si="17"/>
        <v>-2.45</v>
      </c>
    </row>
    <row r="1131" spans="3:20">
      <c r="C1131" s="105">
        <v>44145</v>
      </c>
      <c r="D1131" s="106">
        <v>23.453</v>
      </c>
      <c r="E1131" s="100">
        <v>24.706</v>
      </c>
      <c r="F1131" s="100">
        <v>-5</v>
      </c>
      <c r="G1131" s="100">
        <v>-19</v>
      </c>
      <c r="H1131" s="100">
        <v>1</v>
      </c>
      <c r="I1131" s="100">
        <v>-39</v>
      </c>
      <c r="K1131" s="105">
        <v>44145</v>
      </c>
      <c r="L1131" s="100">
        <v>36.59</v>
      </c>
      <c r="M1131" s="106">
        <v>26.404</v>
      </c>
      <c r="N1131" s="100">
        <v>39</v>
      </c>
      <c r="O1131" s="100">
        <v>45</v>
      </c>
      <c r="P1131" s="100">
        <v>66</v>
      </c>
      <c r="Q1131" s="100">
        <v>25</v>
      </c>
      <c r="S1131" s="105">
        <v>44145</v>
      </c>
      <c r="T1131" s="106">
        <f t="shared" si="17"/>
        <v>-2.951</v>
      </c>
    </row>
    <row r="1132" spans="3:20">
      <c r="C1132" s="105">
        <v>44144</v>
      </c>
      <c r="D1132" s="106">
        <v>23.883</v>
      </c>
      <c r="E1132" s="100">
        <v>24.216</v>
      </c>
      <c r="F1132" s="100">
        <v>-1</v>
      </c>
      <c r="G1132" s="100">
        <v>-19</v>
      </c>
      <c r="H1132" s="100">
        <v>1</v>
      </c>
      <c r="I1132" s="100">
        <v>-39</v>
      </c>
      <c r="K1132" s="105">
        <v>44144</v>
      </c>
      <c r="L1132" s="100">
        <v>37.24</v>
      </c>
      <c r="M1132" s="106">
        <v>26.077</v>
      </c>
      <c r="N1132" s="100">
        <v>43</v>
      </c>
      <c r="O1132" s="100">
        <v>45</v>
      </c>
      <c r="P1132" s="100">
        <v>66</v>
      </c>
      <c r="Q1132" s="100">
        <v>25</v>
      </c>
      <c r="S1132" s="105">
        <v>44144</v>
      </c>
      <c r="T1132" s="106">
        <f t="shared" si="17"/>
        <v>-2.194</v>
      </c>
    </row>
    <row r="1133" spans="3:20">
      <c r="C1133" s="105">
        <v>44141</v>
      </c>
      <c r="D1133" s="106">
        <v>22.227</v>
      </c>
      <c r="E1133" s="100">
        <v>22.016</v>
      </c>
      <c r="F1133" s="100">
        <v>1</v>
      </c>
      <c r="G1133" s="100">
        <v>-19</v>
      </c>
      <c r="H1133" s="100">
        <v>1</v>
      </c>
      <c r="I1133" s="100">
        <v>-39</v>
      </c>
      <c r="K1133" s="105">
        <v>44141</v>
      </c>
      <c r="L1133" s="100">
        <v>38.473</v>
      </c>
      <c r="M1133" s="106">
        <v>24.367</v>
      </c>
      <c r="N1133" s="100">
        <v>58</v>
      </c>
      <c r="O1133" s="100">
        <v>45</v>
      </c>
      <c r="P1133" s="100">
        <v>66</v>
      </c>
      <c r="Q1133" s="100">
        <v>25</v>
      </c>
      <c r="S1133" s="105">
        <v>44141</v>
      </c>
      <c r="T1133" s="106">
        <f t="shared" si="17"/>
        <v>-2.14</v>
      </c>
    </row>
    <row r="1134" spans="3:20">
      <c r="C1134" s="105">
        <v>44140</v>
      </c>
      <c r="D1134" s="106">
        <v>22.296</v>
      </c>
      <c r="E1134" s="100">
        <v>22.015</v>
      </c>
      <c r="F1134" s="100">
        <v>1</v>
      </c>
      <c r="G1134" s="100">
        <v>-19</v>
      </c>
      <c r="H1134" s="100">
        <v>1</v>
      </c>
      <c r="I1134" s="100">
        <v>-39</v>
      </c>
      <c r="K1134" s="105">
        <v>44140</v>
      </c>
      <c r="L1134" s="100">
        <v>38.447</v>
      </c>
      <c r="M1134" s="106">
        <v>24.363</v>
      </c>
      <c r="N1134" s="100">
        <v>58</v>
      </c>
      <c r="O1134" s="100">
        <v>45</v>
      </c>
      <c r="P1134" s="100">
        <v>66</v>
      </c>
      <c r="Q1134" s="100">
        <v>25</v>
      </c>
      <c r="S1134" s="105">
        <v>44140</v>
      </c>
      <c r="T1134" s="106">
        <f t="shared" si="17"/>
        <v>-2.067</v>
      </c>
    </row>
    <row r="1135" spans="3:20">
      <c r="C1135" s="105">
        <v>44139</v>
      </c>
      <c r="D1135" s="106">
        <v>21.993</v>
      </c>
      <c r="E1135" s="100">
        <v>21.526</v>
      </c>
      <c r="F1135" s="100">
        <v>2</v>
      </c>
      <c r="G1135" s="100">
        <v>-19</v>
      </c>
      <c r="H1135" s="100">
        <v>1</v>
      </c>
      <c r="I1135" s="100">
        <v>-39</v>
      </c>
      <c r="K1135" s="105">
        <v>44139</v>
      </c>
      <c r="L1135" s="100">
        <v>38.023</v>
      </c>
      <c r="M1135" s="106">
        <v>23.883</v>
      </c>
      <c r="N1135" s="100">
        <v>59</v>
      </c>
      <c r="O1135" s="100">
        <v>45</v>
      </c>
      <c r="P1135" s="100">
        <v>66</v>
      </c>
      <c r="Q1135" s="100">
        <v>25</v>
      </c>
      <c r="S1135" s="105">
        <v>44139</v>
      </c>
      <c r="T1135" s="106">
        <f t="shared" si="17"/>
        <v>-1.89</v>
      </c>
    </row>
    <row r="1136" spans="3:20">
      <c r="C1136" s="105">
        <v>44138</v>
      </c>
      <c r="D1136" s="106">
        <v>21.053</v>
      </c>
      <c r="E1136" s="100">
        <v>20.852</v>
      </c>
      <c r="F1136" s="100">
        <v>1</v>
      </c>
      <c r="G1136" s="100">
        <v>-19</v>
      </c>
      <c r="H1136" s="100">
        <v>1</v>
      </c>
      <c r="I1136" s="100">
        <v>-39</v>
      </c>
      <c r="K1136" s="105">
        <v>44138</v>
      </c>
      <c r="L1136" s="100">
        <v>36.409</v>
      </c>
      <c r="M1136" s="106">
        <v>23.074</v>
      </c>
      <c r="N1136" s="100">
        <v>58</v>
      </c>
      <c r="O1136" s="100">
        <v>45</v>
      </c>
      <c r="P1136" s="100">
        <v>66</v>
      </c>
      <c r="Q1136" s="100">
        <v>25</v>
      </c>
      <c r="S1136" s="105">
        <v>44138</v>
      </c>
      <c r="T1136" s="106">
        <f t="shared" si="17"/>
        <v>-2.021</v>
      </c>
    </row>
    <row r="1137" spans="3:20">
      <c r="C1137" s="105">
        <v>44137</v>
      </c>
      <c r="D1137" s="106">
        <v>20.586</v>
      </c>
      <c r="E1137" s="100">
        <v>19.891</v>
      </c>
      <c r="F1137" s="100">
        <v>3</v>
      </c>
      <c r="G1137" s="100">
        <v>-19</v>
      </c>
      <c r="H1137" s="100">
        <v>1</v>
      </c>
      <c r="I1137" s="100">
        <v>-39</v>
      </c>
      <c r="K1137" s="105">
        <v>44137</v>
      </c>
      <c r="L1137" s="100">
        <v>36.525</v>
      </c>
      <c r="M1137" s="106">
        <v>22.267</v>
      </c>
      <c r="N1137" s="100">
        <v>64</v>
      </c>
      <c r="O1137" s="100">
        <v>45</v>
      </c>
      <c r="P1137" s="100">
        <v>66</v>
      </c>
      <c r="Q1137" s="100">
        <v>25</v>
      </c>
      <c r="S1137" s="105">
        <v>44137</v>
      </c>
      <c r="T1137" s="106">
        <f t="shared" si="17"/>
        <v>-1.681</v>
      </c>
    </row>
    <row r="1138" spans="3:20">
      <c r="C1138" s="105">
        <v>44134</v>
      </c>
      <c r="D1138" s="106">
        <v>22.125</v>
      </c>
      <c r="E1138" s="100">
        <v>20.058</v>
      </c>
      <c r="F1138" s="100">
        <v>10</v>
      </c>
      <c r="G1138" s="100">
        <v>-19</v>
      </c>
      <c r="H1138" s="100">
        <v>1</v>
      </c>
      <c r="I1138" s="100">
        <v>-39</v>
      </c>
      <c r="K1138" s="105">
        <v>44134</v>
      </c>
      <c r="L1138" s="100">
        <v>36.581</v>
      </c>
      <c r="M1138" s="106">
        <v>22.419</v>
      </c>
      <c r="N1138" s="100">
        <v>63</v>
      </c>
      <c r="O1138" s="100">
        <v>45</v>
      </c>
      <c r="P1138" s="100">
        <v>66</v>
      </c>
      <c r="Q1138" s="100">
        <v>25</v>
      </c>
      <c r="S1138" s="105">
        <v>44134</v>
      </c>
      <c r="T1138" s="106">
        <f t="shared" si="17"/>
        <v>-0.294</v>
      </c>
    </row>
    <row r="1139" spans="3:20">
      <c r="C1139" s="105">
        <v>44133</v>
      </c>
      <c r="D1139" s="106">
        <v>22.361</v>
      </c>
      <c r="E1139" s="100">
        <v>20.235</v>
      </c>
      <c r="F1139" s="100">
        <v>11</v>
      </c>
      <c r="G1139" s="100">
        <v>-19</v>
      </c>
      <c r="H1139" s="100">
        <v>1</v>
      </c>
      <c r="I1139" s="100">
        <v>-39</v>
      </c>
      <c r="K1139" s="105">
        <v>44133</v>
      </c>
      <c r="L1139" s="100">
        <v>37.109</v>
      </c>
      <c r="M1139" s="106">
        <v>22.646</v>
      </c>
      <c r="N1139" s="100">
        <v>64</v>
      </c>
      <c r="O1139" s="100">
        <v>45</v>
      </c>
      <c r="P1139" s="100">
        <v>66</v>
      </c>
      <c r="Q1139" s="100">
        <v>25</v>
      </c>
      <c r="S1139" s="105">
        <v>44133</v>
      </c>
      <c r="T1139" s="106">
        <f t="shared" si="17"/>
        <v>-0.285</v>
      </c>
    </row>
    <row r="1140" spans="3:20">
      <c r="C1140" s="105">
        <v>44132</v>
      </c>
      <c r="D1140" s="106">
        <v>22.475</v>
      </c>
      <c r="E1140" s="100">
        <v>20.707</v>
      </c>
      <c r="F1140" s="100">
        <v>9</v>
      </c>
      <c r="G1140" s="100">
        <v>-19</v>
      </c>
      <c r="H1140" s="100">
        <v>1</v>
      </c>
      <c r="I1140" s="100">
        <v>-39</v>
      </c>
      <c r="K1140" s="105">
        <v>44132</v>
      </c>
      <c r="L1140" s="100">
        <v>36.836</v>
      </c>
      <c r="M1140" s="106">
        <v>23.011</v>
      </c>
      <c r="N1140" s="100">
        <v>60</v>
      </c>
      <c r="O1140" s="100">
        <v>45</v>
      </c>
      <c r="P1140" s="100">
        <v>66</v>
      </c>
      <c r="Q1140" s="100">
        <v>25</v>
      </c>
      <c r="S1140" s="105">
        <v>44132</v>
      </c>
      <c r="T1140" s="106">
        <f t="shared" si="17"/>
        <v>-0.535999999999998</v>
      </c>
    </row>
    <row r="1141" spans="3:20">
      <c r="C1141" s="105">
        <v>44131</v>
      </c>
      <c r="D1141" s="106">
        <v>23.453</v>
      </c>
      <c r="E1141" s="100">
        <v>21.374</v>
      </c>
      <c r="F1141" s="100">
        <v>10</v>
      </c>
      <c r="G1141" s="100">
        <v>-19</v>
      </c>
      <c r="H1141" s="100">
        <v>1</v>
      </c>
      <c r="I1141" s="100">
        <v>-39</v>
      </c>
      <c r="K1141" s="105">
        <v>44131</v>
      </c>
      <c r="L1141" s="100">
        <v>37.851</v>
      </c>
      <c r="M1141" s="106">
        <v>23.728</v>
      </c>
      <c r="N1141" s="100">
        <v>60</v>
      </c>
      <c r="O1141" s="100">
        <v>45</v>
      </c>
      <c r="P1141" s="100">
        <v>66</v>
      </c>
      <c r="Q1141" s="100">
        <v>25</v>
      </c>
      <c r="S1141" s="105">
        <v>44131</v>
      </c>
      <c r="T1141" s="106">
        <f t="shared" si="17"/>
        <v>-0.275000000000002</v>
      </c>
    </row>
    <row r="1142" spans="3:20">
      <c r="C1142" s="105">
        <v>44130</v>
      </c>
      <c r="D1142" s="106">
        <v>24.181</v>
      </c>
      <c r="E1142" s="100">
        <v>21.98</v>
      </c>
      <c r="F1142" s="100">
        <v>10</v>
      </c>
      <c r="G1142" s="100">
        <v>-19</v>
      </c>
      <c r="H1142" s="100">
        <v>1</v>
      </c>
      <c r="I1142" s="100">
        <v>-39</v>
      </c>
      <c r="K1142" s="105">
        <v>44130</v>
      </c>
      <c r="L1142" s="100">
        <v>37.321</v>
      </c>
      <c r="M1142" s="106">
        <v>24.171</v>
      </c>
      <c r="N1142" s="100">
        <v>54</v>
      </c>
      <c r="O1142" s="100">
        <v>45</v>
      </c>
      <c r="P1142" s="100">
        <v>66</v>
      </c>
      <c r="Q1142" s="100">
        <v>25</v>
      </c>
      <c r="S1142" s="105">
        <v>44130</v>
      </c>
      <c r="T1142" s="106">
        <f t="shared" si="17"/>
        <v>0.0100000000000016</v>
      </c>
    </row>
    <row r="1143" spans="3:20">
      <c r="C1143" s="105">
        <v>44127</v>
      </c>
      <c r="D1143" s="106">
        <v>24.748</v>
      </c>
      <c r="E1143" s="100">
        <v>22.492</v>
      </c>
      <c r="F1143" s="100">
        <v>10</v>
      </c>
      <c r="G1143" s="100">
        <v>-19</v>
      </c>
      <c r="H1143" s="100">
        <v>1</v>
      </c>
      <c r="I1143" s="100">
        <v>-39</v>
      </c>
      <c r="K1143" s="105">
        <v>44127</v>
      </c>
      <c r="L1143" s="100">
        <v>36.414</v>
      </c>
      <c r="M1143" s="106">
        <v>24.481</v>
      </c>
      <c r="N1143" s="100">
        <v>49</v>
      </c>
      <c r="O1143" s="100">
        <v>45</v>
      </c>
      <c r="P1143" s="100">
        <v>66</v>
      </c>
      <c r="Q1143" s="100">
        <v>25</v>
      </c>
      <c r="S1143" s="105">
        <v>44127</v>
      </c>
      <c r="T1143" s="106">
        <f t="shared" si="17"/>
        <v>0.266999999999999</v>
      </c>
    </row>
    <row r="1144" spans="3:20">
      <c r="C1144" s="105">
        <v>44126</v>
      </c>
      <c r="D1144" s="106">
        <v>24.211</v>
      </c>
      <c r="E1144" s="100">
        <v>22.256</v>
      </c>
      <c r="F1144" s="100">
        <v>9</v>
      </c>
      <c r="G1144" s="100">
        <v>-19</v>
      </c>
      <c r="H1144" s="100">
        <v>1</v>
      </c>
      <c r="I1144" s="100">
        <v>-39</v>
      </c>
      <c r="K1144" s="105">
        <v>44126</v>
      </c>
      <c r="L1144" s="100">
        <v>37.818</v>
      </c>
      <c r="M1144" s="106">
        <v>24.479</v>
      </c>
      <c r="N1144" s="100">
        <v>54</v>
      </c>
      <c r="O1144" s="100">
        <v>45</v>
      </c>
      <c r="P1144" s="100">
        <v>66</v>
      </c>
      <c r="Q1144" s="100">
        <v>25</v>
      </c>
      <c r="S1144" s="105">
        <v>44126</v>
      </c>
      <c r="T1144" s="106">
        <f t="shared" si="17"/>
        <v>-0.268000000000001</v>
      </c>
    </row>
    <row r="1145" spans="3:20">
      <c r="C1145" s="105">
        <v>44125</v>
      </c>
      <c r="D1145" s="106">
        <v>23.942</v>
      </c>
      <c r="E1145" s="100">
        <v>22.05</v>
      </c>
      <c r="F1145" s="100">
        <v>9</v>
      </c>
      <c r="G1145" s="100">
        <v>-19</v>
      </c>
      <c r="H1145" s="100">
        <v>1</v>
      </c>
      <c r="I1145" s="100">
        <v>-39</v>
      </c>
      <c r="K1145" s="105">
        <v>44125</v>
      </c>
      <c r="L1145" s="100">
        <v>38.054</v>
      </c>
      <c r="M1145" s="106">
        <v>24.336</v>
      </c>
      <c r="N1145" s="100">
        <v>56</v>
      </c>
      <c r="O1145" s="100">
        <v>45</v>
      </c>
      <c r="P1145" s="100">
        <v>66</v>
      </c>
      <c r="Q1145" s="100">
        <v>25</v>
      </c>
      <c r="S1145" s="105">
        <v>44125</v>
      </c>
      <c r="T1145" s="106">
        <f t="shared" si="17"/>
        <v>-0.393999999999998</v>
      </c>
    </row>
    <row r="1146" spans="3:20">
      <c r="C1146" s="105">
        <v>44124</v>
      </c>
      <c r="D1146" s="106">
        <v>24.604</v>
      </c>
      <c r="E1146" s="100">
        <v>22.464</v>
      </c>
      <c r="F1146" s="100">
        <v>10</v>
      </c>
      <c r="G1146" s="100">
        <v>-19</v>
      </c>
      <c r="H1146" s="100">
        <v>1</v>
      </c>
      <c r="I1146" s="100">
        <v>-39</v>
      </c>
      <c r="K1146" s="105">
        <v>44124</v>
      </c>
      <c r="L1146" s="100">
        <v>38.94</v>
      </c>
      <c r="M1146" s="106">
        <v>24.818</v>
      </c>
      <c r="N1146" s="100">
        <v>57</v>
      </c>
      <c r="O1146" s="100">
        <v>45</v>
      </c>
      <c r="P1146" s="100">
        <v>66</v>
      </c>
      <c r="Q1146" s="100">
        <v>25</v>
      </c>
      <c r="S1146" s="105">
        <v>44124</v>
      </c>
      <c r="T1146" s="106">
        <f t="shared" si="17"/>
        <v>-0.214000000000002</v>
      </c>
    </row>
    <row r="1147" spans="3:20">
      <c r="C1147" s="105">
        <v>44123</v>
      </c>
      <c r="D1147" s="106">
        <v>24.48</v>
      </c>
      <c r="E1147" s="100">
        <v>22.155</v>
      </c>
      <c r="F1147" s="100">
        <v>10</v>
      </c>
      <c r="G1147" s="100">
        <v>-19</v>
      </c>
      <c r="H1147" s="100">
        <v>1</v>
      </c>
      <c r="I1147" s="100">
        <v>-39</v>
      </c>
      <c r="K1147" s="105">
        <v>44123</v>
      </c>
      <c r="L1147" s="100">
        <v>39.187</v>
      </c>
      <c r="M1147" s="106">
        <v>24.588</v>
      </c>
      <c r="N1147" s="100">
        <v>59</v>
      </c>
      <c r="O1147" s="100">
        <v>45</v>
      </c>
      <c r="P1147" s="100">
        <v>66</v>
      </c>
      <c r="Q1147" s="100">
        <v>25</v>
      </c>
      <c r="S1147" s="105">
        <v>44123</v>
      </c>
      <c r="T1147" s="106">
        <f t="shared" si="17"/>
        <v>-0.108000000000001</v>
      </c>
    </row>
    <row r="1148" spans="3:20">
      <c r="C1148" s="105">
        <v>44120</v>
      </c>
      <c r="D1148" s="106">
        <v>24.259</v>
      </c>
      <c r="E1148" s="100">
        <v>22.109</v>
      </c>
      <c r="F1148" s="100">
        <v>10</v>
      </c>
      <c r="G1148" s="100">
        <v>-19</v>
      </c>
      <c r="H1148" s="100">
        <v>1</v>
      </c>
      <c r="I1148" s="100">
        <v>-39</v>
      </c>
      <c r="K1148" s="105">
        <v>44120</v>
      </c>
      <c r="L1148" s="100">
        <v>39.341</v>
      </c>
      <c r="M1148" s="106">
        <v>24.571</v>
      </c>
      <c r="N1148" s="100">
        <v>60</v>
      </c>
      <c r="O1148" s="100">
        <v>45</v>
      </c>
      <c r="P1148" s="100">
        <v>66</v>
      </c>
      <c r="Q1148" s="100">
        <v>25</v>
      </c>
      <c r="S1148" s="105">
        <v>44120</v>
      </c>
      <c r="T1148" s="106">
        <f t="shared" si="17"/>
        <v>-0.312000000000001</v>
      </c>
    </row>
    <row r="1149" spans="3:20">
      <c r="C1149" s="105">
        <v>44119</v>
      </c>
      <c r="D1149" s="106">
        <v>23.869</v>
      </c>
      <c r="E1149" s="100">
        <v>22.004</v>
      </c>
      <c r="F1149" s="100">
        <v>8</v>
      </c>
      <c r="G1149" s="100">
        <v>-19</v>
      </c>
      <c r="H1149" s="100">
        <v>1</v>
      </c>
      <c r="I1149" s="100">
        <v>-39</v>
      </c>
      <c r="K1149" s="105">
        <v>44119</v>
      </c>
      <c r="L1149" s="100">
        <v>38.484</v>
      </c>
      <c r="M1149" s="106">
        <v>24.359</v>
      </c>
      <c r="N1149" s="100">
        <v>58</v>
      </c>
      <c r="O1149" s="100">
        <v>45</v>
      </c>
      <c r="P1149" s="100">
        <v>66</v>
      </c>
      <c r="Q1149" s="100">
        <v>25</v>
      </c>
      <c r="S1149" s="105">
        <v>44119</v>
      </c>
      <c r="T1149" s="106">
        <f t="shared" si="17"/>
        <v>-0.490000000000002</v>
      </c>
    </row>
    <row r="1150" spans="3:20">
      <c r="C1150" s="105">
        <v>44118</v>
      </c>
      <c r="D1150" s="106">
        <v>24.733</v>
      </c>
      <c r="E1150" s="100">
        <v>22.764</v>
      </c>
      <c r="F1150" s="100">
        <v>9</v>
      </c>
      <c r="G1150" s="100">
        <v>-19</v>
      </c>
      <c r="H1150" s="100">
        <v>1</v>
      </c>
      <c r="I1150" s="100">
        <v>-39</v>
      </c>
      <c r="K1150" s="105">
        <v>44118</v>
      </c>
      <c r="L1150" s="100">
        <v>39.038</v>
      </c>
      <c r="M1150" s="106">
        <v>25.089</v>
      </c>
      <c r="N1150" s="100">
        <v>56</v>
      </c>
      <c r="O1150" s="100">
        <v>45</v>
      </c>
      <c r="P1150" s="100">
        <v>66</v>
      </c>
      <c r="Q1150" s="100">
        <v>25</v>
      </c>
      <c r="S1150" s="105">
        <v>44118</v>
      </c>
      <c r="T1150" s="106">
        <f t="shared" si="17"/>
        <v>-0.355999999999998</v>
      </c>
    </row>
    <row r="1151" spans="3:20">
      <c r="C1151" s="105">
        <v>44117</v>
      </c>
      <c r="D1151" s="106">
        <v>24.254</v>
      </c>
      <c r="E1151" s="100">
        <v>22.95</v>
      </c>
      <c r="F1151" s="100">
        <v>6</v>
      </c>
      <c r="G1151" s="100">
        <v>-19</v>
      </c>
      <c r="H1151" s="100">
        <v>1</v>
      </c>
      <c r="I1151" s="100">
        <v>-39</v>
      </c>
      <c r="K1151" s="105">
        <v>44117</v>
      </c>
      <c r="L1151" s="100">
        <v>39.525</v>
      </c>
      <c r="M1151" s="106">
        <v>25.318</v>
      </c>
      <c r="N1151" s="100">
        <v>56</v>
      </c>
      <c r="O1151" s="100">
        <v>45</v>
      </c>
      <c r="P1151" s="100">
        <v>66</v>
      </c>
      <c r="Q1151" s="100">
        <v>25</v>
      </c>
      <c r="S1151" s="105">
        <v>44117</v>
      </c>
      <c r="T1151" s="106">
        <f t="shared" si="17"/>
        <v>-1.064</v>
      </c>
    </row>
    <row r="1152" spans="3:20">
      <c r="C1152" s="105">
        <v>44116</v>
      </c>
      <c r="D1152" s="106">
        <v>24.189</v>
      </c>
      <c r="E1152" s="100">
        <v>23.386</v>
      </c>
      <c r="F1152" s="100">
        <v>3</v>
      </c>
      <c r="G1152" s="100">
        <v>-19</v>
      </c>
      <c r="H1152" s="100">
        <v>1</v>
      </c>
      <c r="I1152" s="100">
        <v>-39</v>
      </c>
      <c r="K1152" s="105">
        <v>44116</v>
      </c>
      <c r="L1152" s="100">
        <v>39.846</v>
      </c>
      <c r="M1152" s="106">
        <v>25.737</v>
      </c>
      <c r="N1152" s="100">
        <v>55</v>
      </c>
      <c r="O1152" s="100">
        <v>45</v>
      </c>
      <c r="P1152" s="100">
        <v>66</v>
      </c>
      <c r="Q1152" s="100">
        <v>25</v>
      </c>
      <c r="S1152" s="105">
        <v>44116</v>
      </c>
      <c r="T1152" s="106">
        <f t="shared" si="17"/>
        <v>-1.548</v>
      </c>
    </row>
    <row r="1153" spans="3:20">
      <c r="C1153" s="105">
        <v>44113</v>
      </c>
      <c r="D1153" s="106">
        <v>24.643</v>
      </c>
      <c r="E1153" s="100">
        <v>23.53</v>
      </c>
      <c r="F1153" s="100">
        <v>5</v>
      </c>
      <c r="G1153" s="100">
        <v>-19</v>
      </c>
      <c r="H1153" s="100">
        <v>1</v>
      </c>
      <c r="I1153" s="100">
        <v>-39</v>
      </c>
      <c r="K1153" s="105">
        <v>44113</v>
      </c>
      <c r="L1153" s="100">
        <v>39.828</v>
      </c>
      <c r="M1153" s="106">
        <v>25.858</v>
      </c>
      <c r="N1153" s="100">
        <v>54</v>
      </c>
      <c r="O1153" s="100">
        <v>45</v>
      </c>
      <c r="P1153" s="100">
        <v>66</v>
      </c>
      <c r="Q1153" s="100">
        <v>25</v>
      </c>
      <c r="S1153" s="105">
        <v>44113</v>
      </c>
      <c r="T1153" s="106">
        <f t="shared" si="17"/>
        <v>-1.215</v>
      </c>
    </row>
    <row r="1154" spans="3:20">
      <c r="C1154" s="105">
        <v>44112</v>
      </c>
      <c r="D1154" s="106">
        <v>25.172</v>
      </c>
      <c r="E1154" s="100">
        <v>23.494</v>
      </c>
      <c r="F1154" s="100">
        <v>7</v>
      </c>
      <c r="G1154" s="100">
        <v>-19</v>
      </c>
      <c r="H1154" s="100">
        <v>1</v>
      </c>
      <c r="I1154" s="100">
        <v>-39</v>
      </c>
      <c r="K1154" s="105">
        <v>44112</v>
      </c>
      <c r="L1154" s="100">
        <v>39.642</v>
      </c>
      <c r="M1154" s="106">
        <v>25.801</v>
      </c>
      <c r="N1154" s="100">
        <v>54</v>
      </c>
      <c r="O1154" s="100">
        <v>45</v>
      </c>
      <c r="P1154" s="100">
        <v>66</v>
      </c>
      <c r="Q1154" s="100">
        <v>25</v>
      </c>
      <c r="S1154" s="105">
        <v>44112</v>
      </c>
      <c r="T1154" s="106">
        <f t="shared" si="17"/>
        <v>-0.628999999999998</v>
      </c>
    </row>
    <row r="1155" spans="3:20">
      <c r="C1155" s="105">
        <v>44111</v>
      </c>
      <c r="D1155" s="106">
        <v>24.937</v>
      </c>
      <c r="E1155" s="100">
        <v>23.173</v>
      </c>
      <c r="F1155" s="100">
        <v>8</v>
      </c>
      <c r="G1155" s="100">
        <v>-19</v>
      </c>
      <c r="H1155" s="100">
        <v>1</v>
      </c>
      <c r="I1155" s="100">
        <v>-39</v>
      </c>
      <c r="K1155" s="105">
        <v>44111</v>
      </c>
      <c r="L1155" s="100">
        <v>39.709</v>
      </c>
      <c r="M1155" s="106">
        <v>25.535</v>
      </c>
      <c r="N1155" s="100">
        <v>56</v>
      </c>
      <c r="O1155" s="100">
        <v>45</v>
      </c>
      <c r="P1155" s="100">
        <v>66</v>
      </c>
      <c r="Q1155" s="100">
        <v>25</v>
      </c>
      <c r="S1155" s="105">
        <v>44111</v>
      </c>
      <c r="T1155" s="106">
        <f t="shared" si="17"/>
        <v>-0.597999999999999</v>
      </c>
    </row>
    <row r="1156" spans="3:20">
      <c r="C1156" s="105">
        <v>44110</v>
      </c>
      <c r="D1156" s="106">
        <v>24.816</v>
      </c>
      <c r="E1156" s="100">
        <v>23.029</v>
      </c>
      <c r="F1156" s="100">
        <v>8</v>
      </c>
      <c r="G1156" s="100">
        <v>-19</v>
      </c>
      <c r="H1156" s="100">
        <v>1</v>
      </c>
      <c r="I1156" s="100">
        <v>-39</v>
      </c>
      <c r="K1156" s="105">
        <v>44110</v>
      </c>
      <c r="L1156" s="100">
        <v>40.27</v>
      </c>
      <c r="M1156" s="106">
        <v>25.492</v>
      </c>
      <c r="N1156" s="100">
        <v>58</v>
      </c>
      <c r="O1156" s="100">
        <v>45</v>
      </c>
      <c r="P1156" s="100">
        <v>66</v>
      </c>
      <c r="Q1156" s="100">
        <v>25</v>
      </c>
      <c r="S1156" s="105">
        <v>44110</v>
      </c>
      <c r="T1156" s="106">
        <f t="shared" si="17"/>
        <v>-0.676000000000002</v>
      </c>
    </row>
    <row r="1157" spans="3:20">
      <c r="C1157" s="105">
        <v>44109</v>
      </c>
      <c r="D1157" s="106">
        <v>25.471</v>
      </c>
      <c r="E1157" s="100">
        <v>22.985</v>
      </c>
      <c r="F1157" s="100">
        <v>11</v>
      </c>
      <c r="G1157" s="100">
        <v>-19</v>
      </c>
      <c r="H1157" s="100">
        <v>1</v>
      </c>
      <c r="I1157" s="100">
        <v>-39</v>
      </c>
      <c r="K1157" s="105">
        <v>44109</v>
      </c>
      <c r="L1157" s="100">
        <v>41.315</v>
      </c>
      <c r="M1157" s="106">
        <v>25.604</v>
      </c>
      <c r="N1157" s="100">
        <v>61</v>
      </c>
      <c r="O1157" s="100">
        <v>45</v>
      </c>
      <c r="P1157" s="100">
        <v>66</v>
      </c>
      <c r="Q1157" s="100">
        <v>25</v>
      </c>
      <c r="S1157" s="105">
        <v>44109</v>
      </c>
      <c r="T1157" s="106">
        <f t="shared" si="17"/>
        <v>-0.132999999999999</v>
      </c>
    </row>
    <row r="1158" spans="3:20">
      <c r="C1158" s="105">
        <v>44106</v>
      </c>
      <c r="D1158" s="106">
        <v>25.662</v>
      </c>
      <c r="E1158" s="100">
        <v>22.874</v>
      </c>
      <c r="F1158" s="100">
        <v>12</v>
      </c>
      <c r="G1158" s="100">
        <v>-19</v>
      </c>
      <c r="H1158" s="100">
        <v>1</v>
      </c>
      <c r="I1158" s="100">
        <v>-39</v>
      </c>
      <c r="K1158" s="105">
        <v>44106</v>
      </c>
      <c r="L1158" s="100">
        <v>41.264</v>
      </c>
      <c r="M1158" s="106">
        <v>25.501</v>
      </c>
      <c r="N1158" s="100">
        <v>62</v>
      </c>
      <c r="O1158" s="100">
        <v>45</v>
      </c>
      <c r="P1158" s="100">
        <v>66</v>
      </c>
      <c r="Q1158" s="100">
        <v>25</v>
      </c>
      <c r="S1158" s="105">
        <v>44106</v>
      </c>
      <c r="T1158" s="106">
        <f t="shared" si="17"/>
        <v>0.160999999999998</v>
      </c>
    </row>
    <row r="1159" spans="3:20">
      <c r="C1159" s="105">
        <v>44105</v>
      </c>
      <c r="D1159" s="106">
        <v>26.01</v>
      </c>
      <c r="E1159" s="100">
        <v>23.046</v>
      </c>
      <c r="F1159" s="100">
        <v>13</v>
      </c>
      <c r="G1159" s="100">
        <v>-19</v>
      </c>
      <c r="H1159" s="100">
        <v>1</v>
      </c>
      <c r="I1159" s="100">
        <v>-39</v>
      </c>
      <c r="K1159" s="105">
        <v>44105</v>
      </c>
      <c r="L1159" s="100">
        <v>40.878</v>
      </c>
      <c r="M1159" s="106">
        <v>25.593</v>
      </c>
      <c r="N1159" s="100">
        <v>60</v>
      </c>
      <c r="O1159" s="100">
        <v>45</v>
      </c>
      <c r="P1159" s="100">
        <v>66</v>
      </c>
      <c r="Q1159" s="100">
        <v>25</v>
      </c>
      <c r="S1159" s="105">
        <v>44105</v>
      </c>
      <c r="T1159" s="106">
        <f t="shared" si="17"/>
        <v>0.417000000000002</v>
      </c>
    </row>
    <row r="1160" spans="3:20">
      <c r="C1160" s="105">
        <v>44104</v>
      </c>
      <c r="D1160" s="106">
        <v>26.11</v>
      </c>
      <c r="E1160" s="100">
        <v>22.873</v>
      </c>
      <c r="F1160" s="100">
        <v>14</v>
      </c>
      <c r="G1160" s="100">
        <v>-19</v>
      </c>
      <c r="H1160" s="100">
        <v>1</v>
      </c>
      <c r="I1160" s="100">
        <v>-39</v>
      </c>
      <c r="K1160" s="105">
        <v>44104</v>
      </c>
      <c r="L1160" s="100">
        <v>39.935</v>
      </c>
      <c r="M1160" s="106">
        <v>25.311</v>
      </c>
      <c r="N1160" s="100">
        <v>58</v>
      </c>
      <c r="O1160" s="100">
        <v>45</v>
      </c>
      <c r="P1160" s="100">
        <v>66</v>
      </c>
      <c r="Q1160" s="100">
        <v>25</v>
      </c>
      <c r="S1160" s="105">
        <v>44104</v>
      </c>
      <c r="T1160" s="106">
        <f t="shared" si="17"/>
        <v>0.798999999999999</v>
      </c>
    </row>
    <row r="1161" spans="3:20">
      <c r="C1161" s="105">
        <v>44103</v>
      </c>
      <c r="D1161" s="106">
        <v>25.693</v>
      </c>
      <c r="E1161" s="100">
        <v>22.763</v>
      </c>
      <c r="F1161" s="100">
        <v>13</v>
      </c>
      <c r="G1161" s="100">
        <v>-19</v>
      </c>
      <c r="H1161" s="100">
        <v>1</v>
      </c>
      <c r="I1161" s="100">
        <v>-39</v>
      </c>
      <c r="K1161" s="105">
        <v>44103</v>
      </c>
      <c r="L1161" s="100">
        <v>40.02</v>
      </c>
      <c r="M1161" s="106">
        <v>25.228</v>
      </c>
      <c r="N1161" s="100">
        <v>59</v>
      </c>
      <c r="O1161" s="100">
        <v>45</v>
      </c>
      <c r="P1161" s="100">
        <v>66</v>
      </c>
      <c r="Q1161" s="100">
        <v>25</v>
      </c>
      <c r="S1161" s="105">
        <v>44103</v>
      </c>
      <c r="T1161" s="106">
        <f t="shared" si="17"/>
        <v>0.465</v>
      </c>
    </row>
    <row r="1162" spans="3:20">
      <c r="C1162" s="105">
        <v>44102</v>
      </c>
      <c r="D1162" s="106">
        <v>26.265</v>
      </c>
      <c r="E1162" s="100">
        <v>23.174</v>
      </c>
      <c r="F1162" s="100">
        <v>13</v>
      </c>
      <c r="G1162" s="100">
        <v>-19</v>
      </c>
      <c r="H1162" s="100">
        <v>1</v>
      </c>
      <c r="I1162" s="100">
        <v>-39</v>
      </c>
      <c r="K1162" s="105">
        <v>44102</v>
      </c>
      <c r="L1162" s="100">
        <v>39.835</v>
      </c>
      <c r="M1162" s="106">
        <v>25.555</v>
      </c>
      <c r="N1162" s="100">
        <v>56</v>
      </c>
      <c r="O1162" s="100">
        <v>45</v>
      </c>
      <c r="P1162" s="100">
        <v>66</v>
      </c>
      <c r="Q1162" s="100">
        <v>25</v>
      </c>
      <c r="S1162" s="105">
        <v>44102</v>
      </c>
      <c r="T1162" s="106">
        <f t="shared" si="17"/>
        <v>0.710000000000001</v>
      </c>
    </row>
    <row r="1163" spans="3:20">
      <c r="C1163" s="105">
        <v>44099</v>
      </c>
      <c r="D1163" s="106">
        <v>26.052</v>
      </c>
      <c r="E1163" s="100">
        <v>22.723</v>
      </c>
      <c r="F1163" s="100">
        <v>15</v>
      </c>
      <c r="G1163" s="100">
        <v>-19</v>
      </c>
      <c r="H1163" s="100">
        <v>1</v>
      </c>
      <c r="I1163" s="100">
        <v>-39</v>
      </c>
      <c r="K1163" s="105">
        <v>44099</v>
      </c>
      <c r="L1163" s="100">
        <v>39.331</v>
      </c>
      <c r="M1163" s="106">
        <v>25.096</v>
      </c>
      <c r="N1163" s="100">
        <v>57</v>
      </c>
      <c r="O1163" s="100">
        <v>45</v>
      </c>
      <c r="P1163" s="100">
        <v>66</v>
      </c>
      <c r="Q1163" s="100">
        <v>25</v>
      </c>
      <c r="S1163" s="105">
        <v>44099</v>
      </c>
      <c r="T1163" s="106">
        <f t="shared" si="17"/>
        <v>0.956</v>
      </c>
    </row>
    <row r="1164" spans="3:20">
      <c r="C1164" s="105">
        <v>44098</v>
      </c>
      <c r="D1164" s="106">
        <v>25.473</v>
      </c>
      <c r="E1164" s="100">
        <v>22.729</v>
      </c>
      <c r="F1164" s="100">
        <v>12</v>
      </c>
      <c r="G1164" s="100">
        <v>-19</v>
      </c>
      <c r="H1164" s="100">
        <v>1</v>
      </c>
      <c r="I1164" s="100">
        <v>-39</v>
      </c>
      <c r="K1164" s="105">
        <v>44098</v>
      </c>
      <c r="L1164" s="100">
        <v>39.626</v>
      </c>
      <c r="M1164" s="106">
        <v>25.143</v>
      </c>
      <c r="N1164" s="100">
        <v>58</v>
      </c>
      <c r="O1164" s="100">
        <v>45</v>
      </c>
      <c r="P1164" s="100">
        <v>66</v>
      </c>
      <c r="Q1164" s="100">
        <v>25</v>
      </c>
      <c r="S1164" s="105">
        <v>44098</v>
      </c>
      <c r="T1164" s="106">
        <f t="shared" si="17"/>
        <v>0.329999999999998</v>
      </c>
    </row>
    <row r="1165" spans="3:20">
      <c r="C1165" s="105">
        <v>44097</v>
      </c>
      <c r="D1165" s="106">
        <v>25.794</v>
      </c>
      <c r="E1165" s="100">
        <v>23.262</v>
      </c>
      <c r="F1165" s="100">
        <v>11</v>
      </c>
      <c r="G1165" s="100">
        <v>-19</v>
      </c>
      <c r="H1165" s="100">
        <v>1</v>
      </c>
      <c r="I1165" s="100">
        <v>-39</v>
      </c>
      <c r="K1165" s="105">
        <v>44097</v>
      </c>
      <c r="L1165" s="100">
        <v>40.108</v>
      </c>
      <c r="M1165" s="106">
        <v>25.668</v>
      </c>
      <c r="N1165" s="100">
        <v>56</v>
      </c>
      <c r="O1165" s="100">
        <v>45</v>
      </c>
      <c r="P1165" s="100">
        <v>66</v>
      </c>
      <c r="Q1165" s="100">
        <v>25</v>
      </c>
      <c r="S1165" s="105">
        <v>44097</v>
      </c>
      <c r="T1165" s="106">
        <f t="shared" si="17"/>
        <v>0.126000000000001</v>
      </c>
    </row>
    <row r="1166" spans="3:20">
      <c r="C1166" s="105">
        <v>44096</v>
      </c>
      <c r="D1166" s="106">
        <v>24.89</v>
      </c>
      <c r="E1166" s="100">
        <v>23.166</v>
      </c>
      <c r="F1166" s="100">
        <v>7</v>
      </c>
      <c r="G1166" s="100">
        <v>-19</v>
      </c>
      <c r="H1166" s="100">
        <v>1</v>
      </c>
      <c r="I1166" s="100">
        <v>-39</v>
      </c>
      <c r="K1166" s="105">
        <v>44096</v>
      </c>
      <c r="L1166" s="100">
        <v>39.381</v>
      </c>
      <c r="M1166" s="106">
        <v>25.483</v>
      </c>
      <c r="N1166" s="100">
        <v>55</v>
      </c>
      <c r="O1166" s="100">
        <v>45</v>
      </c>
      <c r="P1166" s="100">
        <v>66</v>
      </c>
      <c r="Q1166" s="100">
        <v>25</v>
      </c>
      <c r="S1166" s="105">
        <v>44096</v>
      </c>
      <c r="T1166" s="106">
        <f t="shared" si="17"/>
        <v>-0.593</v>
      </c>
    </row>
    <row r="1167" spans="3:20">
      <c r="C1167" s="105">
        <v>44095</v>
      </c>
      <c r="D1167" s="106">
        <v>24.414</v>
      </c>
      <c r="E1167" s="100">
        <v>23.339</v>
      </c>
      <c r="F1167" s="100">
        <v>5</v>
      </c>
      <c r="G1167" s="100">
        <v>-19</v>
      </c>
      <c r="H1167" s="100">
        <v>1</v>
      </c>
      <c r="I1167" s="100">
        <v>-39</v>
      </c>
      <c r="K1167" s="105">
        <v>44095</v>
      </c>
      <c r="L1167" s="100">
        <v>39.466</v>
      </c>
      <c r="M1167" s="106">
        <v>25.643</v>
      </c>
      <c r="N1167" s="100">
        <v>54</v>
      </c>
      <c r="O1167" s="100">
        <v>45</v>
      </c>
      <c r="P1167" s="100">
        <v>66</v>
      </c>
      <c r="Q1167" s="100">
        <v>25</v>
      </c>
      <c r="S1167" s="105">
        <v>44095</v>
      </c>
      <c r="T1167" s="106">
        <f t="shared" si="17"/>
        <v>-1.229</v>
      </c>
    </row>
    <row r="1168" spans="3:20">
      <c r="C1168" s="105">
        <v>44092</v>
      </c>
      <c r="D1168" s="106">
        <v>25.63</v>
      </c>
      <c r="E1168" s="100">
        <v>24.655</v>
      </c>
      <c r="F1168" s="100">
        <v>4</v>
      </c>
      <c r="G1168" s="100">
        <v>-19</v>
      </c>
      <c r="H1168" s="100">
        <v>1</v>
      </c>
      <c r="I1168" s="100">
        <v>-39</v>
      </c>
      <c r="K1168" s="105">
        <v>44092</v>
      </c>
      <c r="L1168" s="100">
        <v>40.497</v>
      </c>
      <c r="M1168" s="106">
        <v>26.918</v>
      </c>
      <c r="N1168" s="100">
        <v>50</v>
      </c>
      <c r="O1168" s="100">
        <v>45</v>
      </c>
      <c r="P1168" s="100">
        <v>66</v>
      </c>
      <c r="Q1168" s="100">
        <v>25</v>
      </c>
      <c r="S1168" s="105">
        <v>44092</v>
      </c>
      <c r="T1168" s="106">
        <f t="shared" si="17"/>
        <v>-1.288</v>
      </c>
    </row>
    <row r="1169" spans="3:20">
      <c r="C1169" s="105">
        <v>44091</v>
      </c>
      <c r="D1169" s="106">
        <v>26.533</v>
      </c>
      <c r="E1169" s="100">
        <v>25.583</v>
      </c>
      <c r="F1169" s="100">
        <v>4</v>
      </c>
      <c r="G1169" s="100">
        <v>-19</v>
      </c>
      <c r="H1169" s="100">
        <v>1</v>
      </c>
      <c r="I1169" s="100">
        <v>-39</v>
      </c>
      <c r="K1169" s="105">
        <v>44091</v>
      </c>
      <c r="L1169" s="100">
        <v>39.98</v>
      </c>
      <c r="M1169" s="106">
        <v>27.64</v>
      </c>
      <c r="N1169" s="100">
        <v>45</v>
      </c>
      <c r="O1169" s="100">
        <v>45</v>
      </c>
      <c r="P1169" s="100">
        <v>66</v>
      </c>
      <c r="Q1169" s="100">
        <v>25</v>
      </c>
      <c r="S1169" s="105">
        <v>44091</v>
      </c>
      <c r="T1169" s="106">
        <f t="shared" si="17"/>
        <v>-1.107</v>
      </c>
    </row>
    <row r="1170" spans="3:20">
      <c r="C1170" s="105">
        <v>44090</v>
      </c>
      <c r="D1170" s="106">
        <v>26.406</v>
      </c>
      <c r="E1170" s="100">
        <v>25.565</v>
      </c>
      <c r="F1170" s="100">
        <v>3</v>
      </c>
      <c r="G1170" s="100">
        <v>-19</v>
      </c>
      <c r="H1170" s="100">
        <v>1</v>
      </c>
      <c r="I1170" s="100">
        <v>-39</v>
      </c>
      <c r="K1170" s="105">
        <v>44090</v>
      </c>
      <c r="L1170" s="100">
        <v>40.599</v>
      </c>
      <c r="M1170" s="106">
        <v>27.713</v>
      </c>
      <c r="N1170" s="100">
        <v>46</v>
      </c>
      <c r="O1170" s="100">
        <v>45</v>
      </c>
      <c r="P1170" s="100">
        <v>66</v>
      </c>
      <c r="Q1170" s="100">
        <v>25</v>
      </c>
      <c r="S1170" s="105">
        <v>44090</v>
      </c>
      <c r="T1170" s="106">
        <f t="shared" si="17"/>
        <v>-1.307</v>
      </c>
    </row>
    <row r="1171" spans="3:20">
      <c r="C1171" s="105">
        <v>44089</v>
      </c>
      <c r="D1171" s="106">
        <v>26.403</v>
      </c>
      <c r="E1171" s="100">
        <v>25.327</v>
      </c>
      <c r="F1171" s="100">
        <v>4</v>
      </c>
      <c r="G1171" s="100">
        <v>-19</v>
      </c>
      <c r="H1171" s="100">
        <v>1</v>
      </c>
      <c r="I1171" s="100">
        <v>-39</v>
      </c>
      <c r="K1171" s="105">
        <v>44089</v>
      </c>
      <c r="L1171" s="100">
        <v>41.418</v>
      </c>
      <c r="M1171" s="106">
        <v>27.626</v>
      </c>
      <c r="N1171" s="100">
        <v>50</v>
      </c>
      <c r="O1171" s="100">
        <v>45</v>
      </c>
      <c r="P1171" s="100">
        <v>66</v>
      </c>
      <c r="Q1171" s="100">
        <v>25</v>
      </c>
      <c r="S1171" s="105">
        <v>44089</v>
      </c>
      <c r="T1171" s="106">
        <f t="shared" si="17"/>
        <v>-1.223</v>
      </c>
    </row>
    <row r="1172" spans="3:20">
      <c r="C1172" s="105">
        <v>44088</v>
      </c>
      <c r="D1172" s="106">
        <v>26.068</v>
      </c>
      <c r="E1172" s="100">
        <v>24.461</v>
      </c>
      <c r="F1172" s="100">
        <v>7</v>
      </c>
      <c r="G1172" s="100">
        <v>-19</v>
      </c>
      <c r="H1172" s="100">
        <v>1</v>
      </c>
      <c r="I1172" s="100">
        <v>-39</v>
      </c>
      <c r="K1172" s="105">
        <v>44088</v>
      </c>
      <c r="L1172" s="100">
        <v>40.58</v>
      </c>
      <c r="M1172" s="106">
        <v>26.764</v>
      </c>
      <c r="N1172" s="100">
        <v>52</v>
      </c>
      <c r="O1172" s="100">
        <v>45</v>
      </c>
      <c r="P1172" s="100">
        <v>66</v>
      </c>
      <c r="Q1172" s="100">
        <v>25</v>
      </c>
      <c r="S1172" s="105">
        <v>44088</v>
      </c>
      <c r="T1172" s="106">
        <f t="shared" si="17"/>
        <v>-0.695999999999998</v>
      </c>
    </row>
    <row r="1173" spans="3:20">
      <c r="C1173" s="105">
        <v>44085</v>
      </c>
      <c r="D1173" s="106">
        <v>26.825</v>
      </c>
      <c r="E1173" s="100">
        <v>24.5</v>
      </c>
      <c r="F1173" s="100">
        <v>9</v>
      </c>
      <c r="G1173" s="100">
        <v>-19</v>
      </c>
      <c r="H1173" s="100">
        <v>1</v>
      </c>
      <c r="I1173" s="100">
        <v>-39</v>
      </c>
      <c r="K1173" s="105">
        <v>44085</v>
      </c>
      <c r="L1173" s="100">
        <v>40.927</v>
      </c>
      <c r="M1173" s="106">
        <v>26.847</v>
      </c>
      <c r="N1173" s="100">
        <v>52</v>
      </c>
      <c r="O1173" s="100">
        <v>45</v>
      </c>
      <c r="P1173" s="100">
        <v>66</v>
      </c>
      <c r="Q1173" s="100">
        <v>25</v>
      </c>
      <c r="S1173" s="105">
        <v>44085</v>
      </c>
      <c r="T1173" s="106">
        <f t="shared" si="17"/>
        <v>-0.022000000000002</v>
      </c>
    </row>
    <row r="1174" spans="3:20">
      <c r="C1174" s="105">
        <v>44084</v>
      </c>
      <c r="D1174" s="106">
        <v>27.924</v>
      </c>
      <c r="E1174" s="100">
        <v>24.608</v>
      </c>
      <c r="F1174" s="100">
        <v>13</v>
      </c>
      <c r="G1174" s="100">
        <v>-19</v>
      </c>
      <c r="H1174" s="100">
        <v>1</v>
      </c>
      <c r="I1174" s="100">
        <v>-39</v>
      </c>
      <c r="K1174" s="105">
        <v>44084</v>
      </c>
      <c r="L1174" s="100">
        <v>40.308</v>
      </c>
      <c r="M1174" s="106">
        <v>26.851</v>
      </c>
      <c r="N1174" s="100">
        <v>50</v>
      </c>
      <c r="O1174" s="100">
        <v>45</v>
      </c>
      <c r="P1174" s="100">
        <v>66</v>
      </c>
      <c r="Q1174" s="100">
        <v>25</v>
      </c>
      <c r="S1174" s="105">
        <v>44084</v>
      </c>
      <c r="T1174" s="106">
        <f t="shared" ref="T1174:T1237" si="18">D1174-M1174</f>
        <v>1.073</v>
      </c>
    </row>
    <row r="1175" spans="3:20">
      <c r="C1175" s="105">
        <v>44083</v>
      </c>
      <c r="D1175" s="106">
        <v>28.643</v>
      </c>
      <c r="E1175" s="100">
        <v>24.643</v>
      </c>
      <c r="F1175" s="100">
        <v>16</v>
      </c>
      <c r="G1175" s="100">
        <v>-19</v>
      </c>
      <c r="H1175" s="100">
        <v>1</v>
      </c>
      <c r="I1175" s="100">
        <v>-39</v>
      </c>
      <c r="K1175" s="105">
        <v>44083</v>
      </c>
      <c r="L1175" s="100">
        <v>39.665</v>
      </c>
      <c r="M1175" s="106">
        <v>26.789</v>
      </c>
      <c r="N1175" s="100">
        <v>48</v>
      </c>
      <c r="O1175" s="100">
        <v>45</v>
      </c>
      <c r="P1175" s="100">
        <v>66</v>
      </c>
      <c r="Q1175" s="100">
        <v>25</v>
      </c>
      <c r="S1175" s="105">
        <v>44083</v>
      </c>
      <c r="T1175" s="106">
        <f t="shared" si="18"/>
        <v>1.854</v>
      </c>
    </row>
    <row r="1176" spans="3:20">
      <c r="C1176" s="105">
        <v>44082</v>
      </c>
      <c r="D1176" s="106">
        <v>28.73</v>
      </c>
      <c r="E1176" s="100">
        <v>24.942</v>
      </c>
      <c r="F1176" s="100">
        <v>15</v>
      </c>
      <c r="G1176" s="100">
        <v>-19</v>
      </c>
      <c r="H1176" s="100">
        <v>1</v>
      </c>
      <c r="I1176" s="100">
        <v>-39</v>
      </c>
      <c r="K1176" s="105">
        <v>44082</v>
      </c>
      <c r="L1176" s="100">
        <v>38.936</v>
      </c>
      <c r="M1176" s="106">
        <v>26.941</v>
      </c>
      <c r="N1176" s="100">
        <v>45</v>
      </c>
      <c r="O1176" s="100">
        <v>45</v>
      </c>
      <c r="P1176" s="100">
        <v>66</v>
      </c>
      <c r="Q1176" s="100">
        <v>25</v>
      </c>
      <c r="S1176" s="105">
        <v>44082</v>
      </c>
      <c r="T1176" s="106">
        <f t="shared" si="18"/>
        <v>1.789</v>
      </c>
    </row>
    <row r="1177" spans="3:20">
      <c r="C1177" s="105">
        <v>44081</v>
      </c>
      <c r="D1177" s="106">
        <v>27.413</v>
      </c>
      <c r="E1177" s="100">
        <v>24.863</v>
      </c>
      <c r="F1177" s="100">
        <v>10</v>
      </c>
      <c r="G1177" s="100">
        <v>-19</v>
      </c>
      <c r="H1177" s="100">
        <v>1</v>
      </c>
      <c r="I1177" s="100">
        <v>-39</v>
      </c>
      <c r="K1177" s="105">
        <v>44081</v>
      </c>
      <c r="L1177" s="100">
        <v>38.81</v>
      </c>
      <c r="M1177" s="106">
        <v>26.855</v>
      </c>
      <c r="N1177" s="100">
        <v>45</v>
      </c>
      <c r="O1177" s="100">
        <v>45</v>
      </c>
      <c r="P1177" s="100">
        <v>66</v>
      </c>
      <c r="Q1177" s="100">
        <v>25</v>
      </c>
      <c r="S1177" s="105">
        <v>44081</v>
      </c>
      <c r="T1177" s="106">
        <f t="shared" si="18"/>
        <v>0.558</v>
      </c>
    </row>
    <row r="1178" spans="3:20">
      <c r="C1178" s="105">
        <v>44078</v>
      </c>
      <c r="D1178" s="106">
        <v>27.168</v>
      </c>
      <c r="E1178" s="100">
        <v>24.825</v>
      </c>
      <c r="F1178" s="100">
        <v>9</v>
      </c>
      <c r="G1178" s="100">
        <v>-19</v>
      </c>
      <c r="H1178" s="100">
        <v>1</v>
      </c>
      <c r="I1178" s="100">
        <v>-39</v>
      </c>
      <c r="K1178" s="105">
        <v>44078</v>
      </c>
      <c r="L1178" s="100">
        <v>37.793</v>
      </c>
      <c r="M1178" s="106">
        <v>26.678</v>
      </c>
      <c r="N1178" s="100">
        <v>42</v>
      </c>
      <c r="O1178" s="100">
        <v>45</v>
      </c>
      <c r="P1178" s="100">
        <v>66</v>
      </c>
      <c r="Q1178" s="100">
        <v>25</v>
      </c>
      <c r="S1178" s="105">
        <v>44078</v>
      </c>
      <c r="T1178" s="106">
        <f t="shared" si="18"/>
        <v>0.489999999999998</v>
      </c>
    </row>
    <row r="1179" spans="3:20">
      <c r="C1179" s="105">
        <v>44077</v>
      </c>
      <c r="D1179" s="106">
        <v>27.554</v>
      </c>
      <c r="E1179" s="100">
        <v>25.071</v>
      </c>
      <c r="F1179" s="100">
        <v>10</v>
      </c>
      <c r="G1179" s="100">
        <v>-19</v>
      </c>
      <c r="H1179" s="100">
        <v>1</v>
      </c>
      <c r="I1179" s="100">
        <v>-39</v>
      </c>
      <c r="K1179" s="105">
        <v>44077</v>
      </c>
      <c r="L1179" s="100">
        <v>38.504</v>
      </c>
      <c r="M1179" s="106">
        <v>26.99</v>
      </c>
      <c r="N1179" s="100">
        <v>43</v>
      </c>
      <c r="O1179" s="100">
        <v>45</v>
      </c>
      <c r="P1179" s="100">
        <v>66</v>
      </c>
      <c r="Q1179" s="100">
        <v>25</v>
      </c>
      <c r="S1179" s="105">
        <v>44077</v>
      </c>
      <c r="T1179" s="106">
        <f t="shared" si="18"/>
        <v>0.564</v>
      </c>
    </row>
    <row r="1180" spans="3:20">
      <c r="C1180" s="105">
        <v>44076</v>
      </c>
      <c r="D1180" s="106">
        <v>27.592</v>
      </c>
      <c r="E1180" s="100">
        <v>25.004</v>
      </c>
      <c r="F1180" s="100">
        <v>10</v>
      </c>
      <c r="G1180" s="100">
        <v>-19</v>
      </c>
      <c r="H1180" s="100">
        <v>1</v>
      </c>
      <c r="I1180" s="100">
        <v>-39</v>
      </c>
      <c r="K1180" s="105">
        <v>44076</v>
      </c>
      <c r="L1180" s="100">
        <v>39.627</v>
      </c>
      <c r="M1180" s="106">
        <v>27.093</v>
      </c>
      <c r="N1180" s="100">
        <v>46</v>
      </c>
      <c r="O1180" s="100">
        <v>45</v>
      </c>
      <c r="P1180" s="100">
        <v>66</v>
      </c>
      <c r="Q1180" s="100">
        <v>25</v>
      </c>
      <c r="S1180" s="105">
        <v>44076</v>
      </c>
      <c r="T1180" s="106">
        <f t="shared" si="18"/>
        <v>0.498999999999999</v>
      </c>
    </row>
    <row r="1181" spans="3:20">
      <c r="C1181" s="105">
        <v>44075</v>
      </c>
      <c r="D1181" s="106">
        <v>27.669</v>
      </c>
      <c r="E1181" s="100">
        <v>24.796</v>
      </c>
      <c r="F1181" s="100">
        <v>12</v>
      </c>
      <c r="G1181" s="100">
        <v>-19</v>
      </c>
      <c r="H1181" s="100">
        <v>1</v>
      </c>
      <c r="I1181" s="100">
        <v>-39</v>
      </c>
      <c r="K1181" s="105">
        <v>44075</v>
      </c>
      <c r="L1181" s="100">
        <v>38.806</v>
      </c>
      <c r="M1181" s="106">
        <v>26.797</v>
      </c>
      <c r="N1181" s="100">
        <v>45</v>
      </c>
      <c r="O1181" s="100">
        <v>45</v>
      </c>
      <c r="P1181" s="100">
        <v>66</v>
      </c>
      <c r="Q1181" s="100">
        <v>25</v>
      </c>
      <c r="S1181" s="105">
        <v>44075</v>
      </c>
      <c r="T1181" s="106">
        <f t="shared" si="18"/>
        <v>0.872</v>
      </c>
    </row>
    <row r="1182" spans="3:20">
      <c r="C1182" s="105">
        <v>44071</v>
      </c>
      <c r="D1182" s="106">
        <v>28.723</v>
      </c>
      <c r="E1182" s="100">
        <v>25.69</v>
      </c>
      <c r="F1182" s="100">
        <v>12</v>
      </c>
      <c r="G1182" s="100">
        <v>-19</v>
      </c>
      <c r="H1182" s="100">
        <v>1</v>
      </c>
      <c r="I1182" s="100">
        <v>-39</v>
      </c>
      <c r="K1182" s="105">
        <v>44071</v>
      </c>
      <c r="L1182" s="100">
        <v>39.175</v>
      </c>
      <c r="M1182" s="106">
        <v>27.617</v>
      </c>
      <c r="N1182" s="100">
        <v>42</v>
      </c>
      <c r="O1182" s="100">
        <v>45</v>
      </c>
      <c r="P1182" s="100">
        <v>66</v>
      </c>
      <c r="Q1182" s="100">
        <v>25</v>
      </c>
      <c r="S1182" s="105">
        <v>44071</v>
      </c>
      <c r="T1182" s="106">
        <f t="shared" si="18"/>
        <v>1.106</v>
      </c>
    </row>
    <row r="1183" spans="3:20">
      <c r="C1183" s="105">
        <v>44070</v>
      </c>
      <c r="D1183" s="106">
        <v>28.662</v>
      </c>
      <c r="E1183" s="100">
        <v>25.897</v>
      </c>
      <c r="F1183" s="100">
        <v>11</v>
      </c>
      <c r="G1183" s="100">
        <v>-19</v>
      </c>
      <c r="H1183" s="100">
        <v>1</v>
      </c>
      <c r="I1183" s="100">
        <v>-39</v>
      </c>
      <c r="K1183" s="105">
        <v>44070</v>
      </c>
      <c r="L1183" s="100">
        <v>39.655</v>
      </c>
      <c r="M1183" s="106">
        <v>27.862</v>
      </c>
      <c r="N1183" s="100">
        <v>42</v>
      </c>
      <c r="O1183" s="100">
        <v>45</v>
      </c>
      <c r="P1183" s="100">
        <v>66</v>
      </c>
      <c r="Q1183" s="100">
        <v>25</v>
      </c>
      <c r="S1183" s="105">
        <v>44070</v>
      </c>
      <c r="T1183" s="106">
        <f t="shared" si="18"/>
        <v>0.800000000000001</v>
      </c>
    </row>
    <row r="1184" spans="3:20">
      <c r="C1184" s="105">
        <v>44069</v>
      </c>
      <c r="D1184" s="106">
        <v>28.563</v>
      </c>
      <c r="E1184" s="100">
        <v>25.991</v>
      </c>
      <c r="F1184" s="100">
        <v>10</v>
      </c>
      <c r="G1184" s="100">
        <v>-19</v>
      </c>
      <c r="H1184" s="100">
        <v>1</v>
      </c>
      <c r="I1184" s="100">
        <v>-39</v>
      </c>
      <c r="K1184" s="105">
        <v>44069</v>
      </c>
      <c r="L1184" s="100">
        <v>39.734</v>
      </c>
      <c r="M1184" s="106">
        <v>27.954</v>
      </c>
      <c r="N1184" s="100">
        <v>42</v>
      </c>
      <c r="O1184" s="100">
        <v>45</v>
      </c>
      <c r="P1184" s="100">
        <v>66</v>
      </c>
      <c r="Q1184" s="100">
        <v>25</v>
      </c>
      <c r="S1184" s="105">
        <v>44069</v>
      </c>
      <c r="T1184" s="106">
        <f t="shared" si="18"/>
        <v>0.608999999999998</v>
      </c>
    </row>
    <row r="1185" spans="3:20">
      <c r="C1185" s="105">
        <v>44068</v>
      </c>
      <c r="D1185" s="106">
        <v>27.609</v>
      </c>
      <c r="E1185" s="100">
        <v>25.642</v>
      </c>
      <c r="F1185" s="100">
        <v>8</v>
      </c>
      <c r="G1185" s="100">
        <v>-19</v>
      </c>
      <c r="H1185" s="100">
        <v>1</v>
      </c>
      <c r="I1185" s="100">
        <v>-39</v>
      </c>
      <c r="K1185" s="105">
        <v>44068</v>
      </c>
      <c r="L1185" s="100">
        <v>39.687</v>
      </c>
      <c r="M1185" s="106">
        <v>27.649</v>
      </c>
      <c r="N1185" s="100">
        <v>44</v>
      </c>
      <c r="O1185" s="100">
        <v>45</v>
      </c>
      <c r="P1185" s="100">
        <v>66</v>
      </c>
      <c r="Q1185" s="100">
        <v>25</v>
      </c>
      <c r="S1185" s="105">
        <v>44068</v>
      </c>
      <c r="T1185" s="106">
        <f t="shared" si="18"/>
        <v>-0.0399999999999991</v>
      </c>
    </row>
    <row r="1186" spans="3:20">
      <c r="C1186" s="105">
        <v>44067</v>
      </c>
      <c r="D1186" s="106">
        <v>27.691</v>
      </c>
      <c r="E1186" s="100">
        <v>26.007</v>
      </c>
      <c r="F1186" s="100">
        <v>6</v>
      </c>
      <c r="G1186" s="100">
        <v>-19</v>
      </c>
      <c r="H1186" s="100">
        <v>1</v>
      </c>
      <c r="I1186" s="100">
        <v>-39</v>
      </c>
      <c r="K1186" s="105">
        <v>44067</v>
      </c>
      <c r="L1186" s="100">
        <v>39.632</v>
      </c>
      <c r="M1186" s="106">
        <v>27.954</v>
      </c>
      <c r="N1186" s="100">
        <v>42</v>
      </c>
      <c r="O1186" s="100">
        <v>45</v>
      </c>
      <c r="P1186" s="100">
        <v>66</v>
      </c>
      <c r="Q1186" s="100">
        <v>25</v>
      </c>
      <c r="S1186" s="105">
        <v>44067</v>
      </c>
      <c r="T1186" s="106">
        <f t="shared" si="18"/>
        <v>-0.263000000000002</v>
      </c>
    </row>
    <row r="1187" spans="3:20">
      <c r="C1187" s="105">
        <v>44064</v>
      </c>
      <c r="D1187" s="106">
        <v>27.583</v>
      </c>
      <c r="E1187" s="100">
        <v>26</v>
      </c>
      <c r="F1187" s="100">
        <v>6</v>
      </c>
      <c r="G1187" s="100">
        <v>-19</v>
      </c>
      <c r="H1187" s="100">
        <v>1</v>
      </c>
      <c r="I1187" s="100">
        <v>-39</v>
      </c>
      <c r="K1187" s="105">
        <v>44064</v>
      </c>
      <c r="L1187" s="100">
        <v>38.903</v>
      </c>
      <c r="M1187" s="106">
        <v>27.844</v>
      </c>
      <c r="N1187" s="100">
        <v>40</v>
      </c>
      <c r="O1187" s="100">
        <v>45</v>
      </c>
      <c r="P1187" s="100">
        <v>66</v>
      </c>
      <c r="Q1187" s="100">
        <v>25</v>
      </c>
      <c r="S1187" s="105">
        <v>44064</v>
      </c>
      <c r="T1187" s="106">
        <f t="shared" si="18"/>
        <v>-0.261000000000003</v>
      </c>
    </row>
    <row r="1188" spans="3:20">
      <c r="C1188" s="105">
        <v>44063</v>
      </c>
      <c r="D1188" s="106">
        <v>27.355</v>
      </c>
      <c r="E1188" s="100">
        <v>26.063</v>
      </c>
      <c r="F1188" s="100">
        <v>5</v>
      </c>
      <c r="G1188" s="100">
        <v>-19</v>
      </c>
      <c r="H1188" s="100">
        <v>1</v>
      </c>
      <c r="I1188" s="100">
        <v>-39</v>
      </c>
      <c r="K1188" s="105">
        <v>44063</v>
      </c>
      <c r="L1188" s="100">
        <v>38.85</v>
      </c>
      <c r="M1188" s="106">
        <v>27.889</v>
      </c>
      <c r="N1188" s="100">
        <v>39</v>
      </c>
      <c r="O1188" s="100">
        <v>45</v>
      </c>
      <c r="P1188" s="100">
        <v>66</v>
      </c>
      <c r="Q1188" s="100">
        <v>25</v>
      </c>
      <c r="S1188" s="105">
        <v>44063</v>
      </c>
      <c r="T1188" s="106">
        <f t="shared" si="18"/>
        <v>-0.533999999999999</v>
      </c>
    </row>
    <row r="1189" spans="3:20">
      <c r="C1189" s="105">
        <v>44062</v>
      </c>
      <c r="D1189" s="106">
        <v>27.518</v>
      </c>
      <c r="E1189" s="100">
        <v>26.823</v>
      </c>
      <c r="F1189" s="100">
        <v>3</v>
      </c>
      <c r="G1189" s="100">
        <v>-19</v>
      </c>
      <c r="H1189" s="100">
        <v>1</v>
      </c>
      <c r="I1189" s="100">
        <v>-39</v>
      </c>
      <c r="K1189" s="105">
        <v>44062</v>
      </c>
      <c r="L1189" s="100">
        <v>38.929</v>
      </c>
      <c r="M1189" s="106">
        <v>28.553</v>
      </c>
      <c r="N1189" s="100">
        <v>36</v>
      </c>
      <c r="O1189" s="100">
        <v>45</v>
      </c>
      <c r="P1189" s="100">
        <v>66</v>
      </c>
      <c r="Q1189" s="100">
        <v>25</v>
      </c>
      <c r="S1189" s="105">
        <v>44062</v>
      </c>
      <c r="T1189" s="106">
        <f t="shared" si="18"/>
        <v>-1.035</v>
      </c>
    </row>
    <row r="1190" spans="3:20">
      <c r="C1190" s="105">
        <v>44061</v>
      </c>
      <c r="D1190" s="106">
        <v>27.665</v>
      </c>
      <c r="E1190" s="100">
        <v>26.762</v>
      </c>
      <c r="F1190" s="100">
        <v>3</v>
      </c>
      <c r="G1190" s="100">
        <v>-19</v>
      </c>
      <c r="H1190" s="100">
        <v>1</v>
      </c>
      <c r="I1190" s="100">
        <v>-39</v>
      </c>
      <c r="K1190" s="105">
        <v>44061</v>
      </c>
      <c r="L1190" s="100">
        <v>38.207</v>
      </c>
      <c r="M1190" s="106">
        <v>28.397</v>
      </c>
      <c r="N1190" s="100">
        <v>35</v>
      </c>
      <c r="O1190" s="100">
        <v>45</v>
      </c>
      <c r="P1190" s="100">
        <v>66</v>
      </c>
      <c r="Q1190" s="100">
        <v>25</v>
      </c>
      <c r="S1190" s="105">
        <v>44061</v>
      </c>
      <c r="T1190" s="106">
        <f t="shared" si="18"/>
        <v>-0.731999999999999</v>
      </c>
    </row>
    <row r="1191" spans="3:20">
      <c r="C1191" s="105">
        <v>44060</v>
      </c>
      <c r="D1191" s="106">
        <v>28.27</v>
      </c>
      <c r="E1191" s="100">
        <v>27.253</v>
      </c>
      <c r="F1191" s="100">
        <v>4</v>
      </c>
      <c r="G1191" s="100">
        <v>-19</v>
      </c>
      <c r="H1191" s="100">
        <v>1</v>
      </c>
      <c r="I1191" s="100">
        <v>-39</v>
      </c>
      <c r="K1191" s="105">
        <v>44060</v>
      </c>
      <c r="L1191" s="100">
        <v>38.506</v>
      </c>
      <c r="M1191" s="106">
        <v>28.861</v>
      </c>
      <c r="N1191" s="100">
        <v>33</v>
      </c>
      <c r="O1191" s="100">
        <v>45</v>
      </c>
      <c r="P1191" s="100">
        <v>66</v>
      </c>
      <c r="Q1191" s="100">
        <v>25</v>
      </c>
      <c r="S1191" s="105">
        <v>44060</v>
      </c>
      <c r="T1191" s="106">
        <f t="shared" si="18"/>
        <v>-0.591000000000001</v>
      </c>
    </row>
    <row r="1192" spans="3:20">
      <c r="C1192" s="105">
        <v>44057</v>
      </c>
      <c r="D1192" s="106">
        <v>28.436</v>
      </c>
      <c r="E1192" s="100">
        <v>27.439</v>
      </c>
      <c r="F1192" s="100">
        <v>4</v>
      </c>
      <c r="G1192" s="100">
        <v>-19</v>
      </c>
      <c r="H1192" s="100">
        <v>1</v>
      </c>
      <c r="I1192" s="100">
        <v>-39</v>
      </c>
      <c r="K1192" s="105">
        <v>44057</v>
      </c>
      <c r="L1192" s="100">
        <v>38.086</v>
      </c>
      <c r="M1192" s="106">
        <v>28.96</v>
      </c>
      <c r="N1192" s="100">
        <v>32</v>
      </c>
      <c r="O1192" s="100">
        <v>45</v>
      </c>
      <c r="P1192" s="100">
        <v>66</v>
      </c>
      <c r="Q1192" s="100">
        <v>25</v>
      </c>
      <c r="S1192" s="105">
        <v>44057</v>
      </c>
      <c r="T1192" s="106">
        <f t="shared" si="18"/>
        <v>-0.524000000000001</v>
      </c>
    </row>
    <row r="1193" spans="3:20">
      <c r="C1193" s="105">
        <v>44056</v>
      </c>
      <c r="D1193" s="106">
        <v>28.787</v>
      </c>
      <c r="E1193" s="100">
        <v>28.052</v>
      </c>
      <c r="F1193" s="100">
        <v>3</v>
      </c>
      <c r="G1193" s="100">
        <v>-19</v>
      </c>
      <c r="H1193" s="100">
        <v>1</v>
      </c>
      <c r="I1193" s="100">
        <v>-39</v>
      </c>
      <c r="K1193" s="105">
        <v>44056</v>
      </c>
      <c r="L1193" s="100">
        <v>38.729</v>
      </c>
      <c r="M1193" s="106">
        <v>29.577</v>
      </c>
      <c r="N1193" s="100">
        <v>31</v>
      </c>
      <c r="O1193" s="100">
        <v>45</v>
      </c>
      <c r="P1193" s="100">
        <v>66</v>
      </c>
      <c r="Q1193" s="100">
        <v>25</v>
      </c>
      <c r="S1193" s="105">
        <v>44056</v>
      </c>
      <c r="T1193" s="106">
        <f t="shared" si="18"/>
        <v>-0.790000000000003</v>
      </c>
    </row>
    <row r="1194" spans="3:20">
      <c r="C1194" s="105">
        <v>44055</v>
      </c>
      <c r="D1194" s="106">
        <v>29.164</v>
      </c>
      <c r="E1194" s="100">
        <v>28.351</v>
      </c>
      <c r="F1194" s="100">
        <v>3</v>
      </c>
      <c r="G1194" s="100">
        <v>-19</v>
      </c>
      <c r="H1194" s="100">
        <v>1</v>
      </c>
      <c r="I1194" s="100">
        <v>-39</v>
      </c>
      <c r="K1194" s="105">
        <v>44055</v>
      </c>
      <c r="L1194" s="100">
        <v>39.113</v>
      </c>
      <c r="M1194" s="106">
        <v>29.889</v>
      </c>
      <c r="N1194" s="100">
        <v>31</v>
      </c>
      <c r="O1194" s="100">
        <v>45</v>
      </c>
      <c r="P1194" s="100">
        <v>66</v>
      </c>
      <c r="Q1194" s="100">
        <v>25</v>
      </c>
      <c r="S1194" s="105">
        <v>44055</v>
      </c>
      <c r="T1194" s="106">
        <f t="shared" si="18"/>
        <v>-0.724999999999998</v>
      </c>
    </row>
    <row r="1195" spans="3:20">
      <c r="C1195" s="105">
        <v>44054</v>
      </c>
      <c r="D1195" s="106">
        <v>29.246</v>
      </c>
      <c r="E1195" s="100">
        <v>28.707</v>
      </c>
      <c r="F1195" s="100">
        <v>2</v>
      </c>
      <c r="G1195" s="100">
        <v>-19</v>
      </c>
      <c r="H1195" s="100">
        <v>1</v>
      </c>
      <c r="I1195" s="100">
        <v>-39</v>
      </c>
      <c r="K1195" s="105">
        <v>44054</v>
      </c>
      <c r="L1195" s="100">
        <v>37.694</v>
      </c>
      <c r="M1195" s="106">
        <v>29.991</v>
      </c>
      <c r="N1195" s="100">
        <v>26</v>
      </c>
      <c r="O1195" s="100">
        <v>45</v>
      </c>
      <c r="P1195" s="100">
        <v>66</v>
      </c>
      <c r="Q1195" s="100">
        <v>25</v>
      </c>
      <c r="S1195" s="105">
        <v>44054</v>
      </c>
      <c r="T1195" s="106">
        <f t="shared" si="18"/>
        <v>-0.745000000000001</v>
      </c>
    </row>
    <row r="1196" spans="3:20">
      <c r="C1196" s="105">
        <v>44053</v>
      </c>
      <c r="D1196" s="106">
        <v>28.43</v>
      </c>
      <c r="E1196" s="100">
        <v>27.78</v>
      </c>
      <c r="F1196" s="100">
        <v>2</v>
      </c>
      <c r="G1196" s="100">
        <v>-19</v>
      </c>
      <c r="H1196" s="100">
        <v>1</v>
      </c>
      <c r="I1196" s="100">
        <v>-39</v>
      </c>
      <c r="K1196" s="105">
        <v>44053</v>
      </c>
      <c r="L1196" s="100">
        <v>37.403</v>
      </c>
      <c r="M1196" s="106">
        <v>29.155</v>
      </c>
      <c r="N1196" s="100">
        <v>28</v>
      </c>
      <c r="O1196" s="100">
        <v>45</v>
      </c>
      <c r="P1196" s="100">
        <v>66</v>
      </c>
      <c r="Q1196" s="100">
        <v>25</v>
      </c>
      <c r="S1196" s="105">
        <v>44053</v>
      </c>
      <c r="T1196" s="106">
        <f t="shared" si="18"/>
        <v>-0.725000000000001</v>
      </c>
    </row>
    <row r="1197" spans="3:20">
      <c r="C1197" s="105">
        <v>44050</v>
      </c>
      <c r="D1197" s="106">
        <v>27.533</v>
      </c>
      <c r="E1197" s="100">
        <v>27.087</v>
      </c>
      <c r="F1197" s="100">
        <v>2</v>
      </c>
      <c r="G1197" s="100">
        <v>-19</v>
      </c>
      <c r="H1197" s="100">
        <v>1</v>
      </c>
      <c r="I1197" s="100">
        <v>-39</v>
      </c>
      <c r="K1197" s="105">
        <v>44050</v>
      </c>
      <c r="L1197" s="100">
        <v>38.152</v>
      </c>
      <c r="M1197" s="106">
        <v>28.668</v>
      </c>
      <c r="N1197" s="100">
        <v>33</v>
      </c>
      <c r="O1197" s="100">
        <v>45</v>
      </c>
      <c r="P1197" s="100">
        <v>66</v>
      </c>
      <c r="Q1197" s="100">
        <v>25</v>
      </c>
      <c r="S1197" s="105">
        <v>44050</v>
      </c>
      <c r="T1197" s="106">
        <f t="shared" si="18"/>
        <v>-1.135</v>
      </c>
    </row>
    <row r="1198" spans="3:20">
      <c r="C1198" s="105">
        <v>44049</v>
      </c>
      <c r="D1198" s="106">
        <v>27.427</v>
      </c>
      <c r="E1198" s="100">
        <v>27.37</v>
      </c>
      <c r="F1198" s="100">
        <v>0</v>
      </c>
      <c r="G1198" s="100">
        <v>-19</v>
      </c>
      <c r="H1198" s="100">
        <v>1</v>
      </c>
      <c r="I1198" s="100">
        <v>-39</v>
      </c>
      <c r="K1198" s="105">
        <v>44049</v>
      </c>
      <c r="L1198" s="100">
        <v>37.911</v>
      </c>
      <c r="M1198" s="106">
        <v>28.876</v>
      </c>
      <c r="N1198" s="100">
        <v>31</v>
      </c>
      <c r="O1198" s="100">
        <v>45</v>
      </c>
      <c r="P1198" s="100">
        <v>66</v>
      </c>
      <c r="Q1198" s="100">
        <v>25</v>
      </c>
      <c r="S1198" s="105">
        <v>44049</v>
      </c>
      <c r="T1198" s="106">
        <f t="shared" si="18"/>
        <v>-1.449</v>
      </c>
    </row>
    <row r="1199" spans="3:20">
      <c r="C1199" s="105">
        <v>44048</v>
      </c>
      <c r="D1199" s="106">
        <v>27.301</v>
      </c>
      <c r="E1199" s="100">
        <v>26.446</v>
      </c>
      <c r="F1199" s="100">
        <v>3</v>
      </c>
      <c r="G1199" s="100">
        <v>-19</v>
      </c>
      <c r="H1199" s="100">
        <v>1</v>
      </c>
      <c r="I1199" s="100">
        <v>-39</v>
      </c>
      <c r="K1199" s="105">
        <v>44048</v>
      </c>
      <c r="L1199" s="100">
        <v>37.939</v>
      </c>
      <c r="M1199" s="106">
        <v>28.088</v>
      </c>
      <c r="N1199" s="100">
        <v>35</v>
      </c>
      <c r="O1199" s="100">
        <v>45</v>
      </c>
      <c r="P1199" s="100">
        <v>66</v>
      </c>
      <c r="Q1199" s="100">
        <v>25</v>
      </c>
      <c r="S1199" s="105">
        <v>44048</v>
      </c>
      <c r="T1199" s="106">
        <f t="shared" si="18"/>
        <v>-0.787000000000003</v>
      </c>
    </row>
    <row r="1200" spans="3:20">
      <c r="C1200" s="105">
        <v>44047</v>
      </c>
      <c r="D1200" s="106">
        <v>25.969</v>
      </c>
      <c r="E1200" s="100">
        <v>24.402</v>
      </c>
      <c r="F1200" s="100">
        <v>6</v>
      </c>
      <c r="G1200" s="100">
        <v>-19</v>
      </c>
      <c r="H1200" s="100">
        <v>1</v>
      </c>
      <c r="I1200" s="100">
        <v>-39</v>
      </c>
      <c r="K1200" s="105">
        <v>44047</v>
      </c>
      <c r="L1200" s="100">
        <v>37.263</v>
      </c>
      <c r="M1200" s="106">
        <v>26.239</v>
      </c>
      <c r="N1200" s="100">
        <v>42</v>
      </c>
      <c r="O1200" s="100">
        <v>45</v>
      </c>
      <c r="P1200" s="100">
        <v>66</v>
      </c>
      <c r="Q1200" s="100">
        <v>25</v>
      </c>
      <c r="S1200" s="105">
        <v>44047</v>
      </c>
      <c r="T1200" s="106">
        <f t="shared" si="18"/>
        <v>-0.27</v>
      </c>
    </row>
    <row r="1201" spans="3:20">
      <c r="C1201" s="105">
        <v>44046</v>
      </c>
      <c r="D1201" s="106">
        <v>25.897</v>
      </c>
      <c r="E1201" s="100">
        <v>23.646</v>
      </c>
      <c r="F1201" s="100">
        <v>10</v>
      </c>
      <c r="G1201" s="100">
        <v>-19</v>
      </c>
      <c r="H1201" s="100">
        <v>1</v>
      </c>
      <c r="I1201" s="100">
        <v>-39</v>
      </c>
      <c r="K1201" s="105">
        <v>44046</v>
      </c>
      <c r="L1201" s="100">
        <v>37.58</v>
      </c>
      <c r="M1201" s="106">
        <v>25.636</v>
      </c>
      <c r="N1201" s="100">
        <v>47</v>
      </c>
      <c r="O1201" s="100">
        <v>45</v>
      </c>
      <c r="P1201" s="100">
        <v>66</v>
      </c>
      <c r="Q1201" s="100">
        <v>25</v>
      </c>
      <c r="S1201" s="105">
        <v>44046</v>
      </c>
      <c r="T1201" s="106">
        <f t="shared" si="18"/>
        <v>0.260999999999999</v>
      </c>
    </row>
    <row r="1202" spans="3:20">
      <c r="C1202" s="105">
        <v>44043</v>
      </c>
      <c r="D1202" s="106">
        <v>24.973</v>
      </c>
      <c r="E1202" s="100">
        <v>23.528</v>
      </c>
      <c r="F1202" s="100">
        <v>6</v>
      </c>
      <c r="G1202" s="100">
        <v>-19</v>
      </c>
      <c r="H1202" s="100">
        <v>1</v>
      </c>
      <c r="I1202" s="100">
        <v>-39</v>
      </c>
      <c r="K1202" s="105">
        <v>44043</v>
      </c>
      <c r="L1202" s="100">
        <v>36.501</v>
      </c>
      <c r="M1202" s="106">
        <v>25.382</v>
      </c>
      <c r="N1202" s="100">
        <v>44</v>
      </c>
      <c r="O1202" s="100">
        <v>45</v>
      </c>
      <c r="P1202" s="100">
        <v>66</v>
      </c>
      <c r="Q1202" s="100">
        <v>25</v>
      </c>
      <c r="S1202" s="105">
        <v>44043</v>
      </c>
      <c r="T1202" s="106">
        <f t="shared" si="18"/>
        <v>-0.409000000000002</v>
      </c>
    </row>
    <row r="1203" spans="3:20">
      <c r="C1203" s="105">
        <v>44042</v>
      </c>
      <c r="D1203" s="106">
        <v>25.224</v>
      </c>
      <c r="E1203" s="100">
        <v>23.707</v>
      </c>
      <c r="F1203" s="100">
        <v>6</v>
      </c>
      <c r="G1203" s="100">
        <v>-19</v>
      </c>
      <c r="H1203" s="100">
        <v>1</v>
      </c>
      <c r="I1203" s="100">
        <v>-39</v>
      </c>
      <c r="K1203" s="105">
        <v>44042</v>
      </c>
      <c r="L1203" s="100">
        <v>35.915</v>
      </c>
      <c r="M1203" s="106">
        <v>25.451</v>
      </c>
      <c r="N1203" s="100">
        <v>41</v>
      </c>
      <c r="O1203" s="100">
        <v>45</v>
      </c>
      <c r="P1203" s="100">
        <v>66</v>
      </c>
      <c r="Q1203" s="100">
        <v>25</v>
      </c>
      <c r="S1203" s="105">
        <v>44042</v>
      </c>
      <c r="T1203" s="106">
        <f t="shared" si="18"/>
        <v>-0.227</v>
      </c>
    </row>
    <row r="1204" spans="3:20">
      <c r="C1204" s="105">
        <v>44041</v>
      </c>
      <c r="D1204" s="106">
        <v>27.518</v>
      </c>
      <c r="E1204" s="100">
        <v>25.027</v>
      </c>
      <c r="F1204" s="100">
        <v>10</v>
      </c>
      <c r="G1204" s="100">
        <v>-19</v>
      </c>
      <c r="H1204" s="100">
        <v>1</v>
      </c>
      <c r="I1204" s="100">
        <v>-39</v>
      </c>
      <c r="K1204" s="105">
        <v>44041</v>
      </c>
      <c r="L1204" s="100">
        <v>36.564</v>
      </c>
      <c r="M1204" s="106">
        <v>26.675</v>
      </c>
      <c r="N1204" s="100">
        <v>37</v>
      </c>
      <c r="O1204" s="100">
        <v>45</v>
      </c>
      <c r="P1204" s="100">
        <v>66</v>
      </c>
      <c r="Q1204" s="100">
        <v>25</v>
      </c>
      <c r="S1204" s="105">
        <v>44041</v>
      </c>
      <c r="T1204" s="106">
        <f t="shared" si="18"/>
        <v>0.843</v>
      </c>
    </row>
    <row r="1205" spans="3:20">
      <c r="C1205" s="105">
        <v>44040</v>
      </c>
      <c r="D1205" s="106">
        <v>26.882</v>
      </c>
      <c r="E1205" s="100">
        <v>25.13</v>
      </c>
      <c r="F1205" s="100">
        <v>7</v>
      </c>
      <c r="G1205" s="100">
        <v>-19</v>
      </c>
      <c r="H1205" s="100">
        <v>1</v>
      </c>
      <c r="I1205" s="100">
        <v>-39</v>
      </c>
      <c r="K1205" s="105">
        <v>44040</v>
      </c>
      <c r="L1205" s="100">
        <v>36.067</v>
      </c>
      <c r="M1205" s="106">
        <v>26.693</v>
      </c>
      <c r="N1205" s="100">
        <v>35</v>
      </c>
      <c r="O1205" s="100">
        <v>45</v>
      </c>
      <c r="P1205" s="100">
        <v>66</v>
      </c>
      <c r="Q1205" s="100">
        <v>25</v>
      </c>
      <c r="S1205" s="105">
        <v>44040</v>
      </c>
      <c r="T1205" s="106">
        <f t="shared" si="18"/>
        <v>0.189</v>
      </c>
    </row>
    <row r="1206" spans="3:20">
      <c r="C1206" s="105">
        <v>44039</v>
      </c>
      <c r="D1206" s="106">
        <v>26.428</v>
      </c>
      <c r="E1206" s="100">
        <v>24.752</v>
      </c>
      <c r="F1206" s="100">
        <v>7</v>
      </c>
      <c r="G1206" s="100">
        <v>-19</v>
      </c>
      <c r="H1206" s="100">
        <v>1</v>
      </c>
      <c r="I1206" s="100">
        <v>-39</v>
      </c>
      <c r="K1206" s="105">
        <v>44039</v>
      </c>
      <c r="L1206" s="100">
        <v>36.121</v>
      </c>
      <c r="M1206" s="106">
        <v>26.376</v>
      </c>
      <c r="N1206" s="100">
        <v>37</v>
      </c>
      <c r="O1206" s="100">
        <v>45</v>
      </c>
      <c r="P1206" s="100">
        <v>66</v>
      </c>
      <c r="Q1206" s="100">
        <v>25</v>
      </c>
      <c r="S1206" s="105">
        <v>44039</v>
      </c>
      <c r="T1206" s="106">
        <f t="shared" si="18"/>
        <v>0.0519999999999996</v>
      </c>
    </row>
    <row r="1207" spans="3:20">
      <c r="C1207" s="105">
        <v>44036</v>
      </c>
      <c r="D1207" s="106">
        <v>26.901</v>
      </c>
      <c r="E1207" s="100">
        <v>25.053</v>
      </c>
      <c r="F1207" s="100">
        <v>7</v>
      </c>
      <c r="G1207" s="100">
        <v>-19</v>
      </c>
      <c r="H1207" s="100">
        <v>1</v>
      </c>
      <c r="I1207" s="100">
        <v>-39</v>
      </c>
      <c r="K1207" s="105">
        <v>44036</v>
      </c>
      <c r="L1207" s="100">
        <v>36.098</v>
      </c>
      <c r="M1207" s="106">
        <v>26.631</v>
      </c>
      <c r="N1207" s="100">
        <v>36</v>
      </c>
      <c r="O1207" s="100">
        <v>45</v>
      </c>
      <c r="P1207" s="100">
        <v>66</v>
      </c>
      <c r="Q1207" s="100">
        <v>25</v>
      </c>
      <c r="S1207" s="105">
        <v>44036</v>
      </c>
      <c r="T1207" s="106">
        <f t="shared" si="18"/>
        <v>0.27</v>
      </c>
    </row>
    <row r="1208" spans="3:20">
      <c r="C1208" s="105">
        <v>44035</v>
      </c>
      <c r="D1208" s="106">
        <v>28.173</v>
      </c>
      <c r="E1208" s="100">
        <v>25.559</v>
      </c>
      <c r="F1208" s="100">
        <v>10</v>
      </c>
      <c r="G1208" s="100">
        <v>-19</v>
      </c>
      <c r="H1208" s="100">
        <v>1</v>
      </c>
      <c r="I1208" s="100">
        <v>-39</v>
      </c>
      <c r="K1208" s="105">
        <v>44035</v>
      </c>
      <c r="L1208" s="100">
        <v>36.006</v>
      </c>
      <c r="M1208" s="106">
        <v>27.051</v>
      </c>
      <c r="N1208" s="100">
        <v>33</v>
      </c>
      <c r="O1208" s="100">
        <v>45</v>
      </c>
      <c r="P1208" s="100">
        <v>66</v>
      </c>
      <c r="Q1208" s="100">
        <v>25</v>
      </c>
      <c r="S1208" s="105">
        <v>44035</v>
      </c>
      <c r="T1208" s="106">
        <f t="shared" si="18"/>
        <v>1.122</v>
      </c>
    </row>
    <row r="1209" spans="3:20">
      <c r="C1209" s="105">
        <v>44034</v>
      </c>
      <c r="D1209" s="106">
        <v>28.714</v>
      </c>
      <c r="E1209" s="100">
        <v>25.471</v>
      </c>
      <c r="F1209" s="100">
        <v>13</v>
      </c>
      <c r="G1209" s="100">
        <v>-19</v>
      </c>
      <c r="H1209" s="100">
        <v>1</v>
      </c>
      <c r="I1209" s="100">
        <v>-39</v>
      </c>
      <c r="K1209" s="105">
        <v>44034</v>
      </c>
      <c r="L1209" s="100">
        <v>36.639</v>
      </c>
      <c r="M1209" s="106">
        <v>27.066</v>
      </c>
      <c r="N1209" s="100">
        <v>35</v>
      </c>
      <c r="O1209" s="100">
        <v>45</v>
      </c>
      <c r="P1209" s="100">
        <v>66</v>
      </c>
      <c r="Q1209" s="100">
        <v>25</v>
      </c>
      <c r="S1209" s="105">
        <v>44034</v>
      </c>
      <c r="T1209" s="106">
        <f t="shared" si="18"/>
        <v>1.648</v>
      </c>
    </row>
    <row r="1210" spans="3:20">
      <c r="C1210" s="105">
        <v>44033</v>
      </c>
      <c r="D1210" s="106">
        <v>28.759</v>
      </c>
      <c r="E1210" s="100">
        <v>25.786</v>
      </c>
      <c r="F1210" s="100">
        <v>12</v>
      </c>
      <c r="G1210" s="100">
        <v>-19</v>
      </c>
      <c r="H1210" s="100">
        <v>1</v>
      </c>
      <c r="I1210" s="100">
        <v>-39</v>
      </c>
      <c r="K1210" s="105">
        <v>44033</v>
      </c>
      <c r="L1210" s="100">
        <v>36.625</v>
      </c>
      <c r="M1210" s="106">
        <v>27.334</v>
      </c>
      <c r="N1210" s="100">
        <v>34</v>
      </c>
      <c r="O1210" s="100">
        <v>45</v>
      </c>
      <c r="P1210" s="100">
        <v>66</v>
      </c>
      <c r="Q1210" s="100">
        <v>25</v>
      </c>
      <c r="S1210" s="105">
        <v>44033</v>
      </c>
      <c r="T1210" s="106">
        <f t="shared" si="18"/>
        <v>1.425</v>
      </c>
    </row>
    <row r="1211" spans="3:20">
      <c r="C1211" s="105">
        <v>44032</v>
      </c>
      <c r="D1211" s="106">
        <v>29.043</v>
      </c>
      <c r="E1211" s="100">
        <v>25.596</v>
      </c>
      <c r="F1211" s="100">
        <v>13</v>
      </c>
      <c r="G1211" s="100">
        <v>-19</v>
      </c>
      <c r="H1211" s="100">
        <v>1</v>
      </c>
      <c r="I1211" s="100">
        <v>-39</v>
      </c>
      <c r="K1211" s="105">
        <v>44032</v>
      </c>
      <c r="L1211" s="100">
        <v>36.662</v>
      </c>
      <c r="M1211" s="106">
        <v>27.177</v>
      </c>
      <c r="N1211" s="100">
        <v>35</v>
      </c>
      <c r="O1211" s="100">
        <v>45</v>
      </c>
      <c r="P1211" s="100">
        <v>66</v>
      </c>
      <c r="Q1211" s="100">
        <v>25</v>
      </c>
      <c r="S1211" s="105">
        <v>44032</v>
      </c>
      <c r="T1211" s="106">
        <f t="shared" si="18"/>
        <v>1.866</v>
      </c>
    </row>
    <row r="1212" spans="3:20">
      <c r="C1212" s="105">
        <v>44029</v>
      </c>
      <c r="D1212" s="106">
        <v>29.702</v>
      </c>
      <c r="E1212" s="100">
        <v>25.942</v>
      </c>
      <c r="F1212" s="100">
        <v>14</v>
      </c>
      <c r="G1212" s="100">
        <v>-19</v>
      </c>
      <c r="H1212" s="100">
        <v>1</v>
      </c>
      <c r="I1212" s="100">
        <v>-39</v>
      </c>
      <c r="K1212" s="105">
        <v>44029</v>
      </c>
      <c r="L1212" s="100">
        <v>36.312</v>
      </c>
      <c r="M1212" s="106">
        <v>27.424</v>
      </c>
      <c r="N1212" s="100">
        <v>32</v>
      </c>
      <c r="O1212" s="100">
        <v>45</v>
      </c>
      <c r="P1212" s="100">
        <v>66</v>
      </c>
      <c r="Q1212" s="100">
        <v>25</v>
      </c>
      <c r="S1212" s="105">
        <v>44029</v>
      </c>
      <c r="T1212" s="106">
        <f t="shared" si="18"/>
        <v>2.278</v>
      </c>
    </row>
    <row r="1213" spans="3:20">
      <c r="C1213" s="105">
        <v>44028</v>
      </c>
      <c r="D1213" s="106">
        <v>29.552</v>
      </c>
      <c r="E1213" s="100">
        <v>25.961</v>
      </c>
      <c r="F1213" s="100">
        <v>14</v>
      </c>
      <c r="G1213" s="100">
        <v>-19</v>
      </c>
      <c r="H1213" s="100">
        <v>1</v>
      </c>
      <c r="I1213" s="100">
        <v>-39</v>
      </c>
      <c r="K1213" s="105">
        <v>44028</v>
      </c>
      <c r="L1213" s="100">
        <v>35.847</v>
      </c>
      <c r="M1213" s="106">
        <v>27.373</v>
      </c>
      <c r="N1213" s="100">
        <v>31</v>
      </c>
      <c r="O1213" s="100">
        <v>45</v>
      </c>
      <c r="P1213" s="100">
        <v>66</v>
      </c>
      <c r="Q1213" s="100">
        <v>25</v>
      </c>
      <c r="S1213" s="105">
        <v>44028</v>
      </c>
      <c r="T1213" s="106">
        <f t="shared" si="18"/>
        <v>2.179</v>
      </c>
    </row>
    <row r="1214" spans="3:20">
      <c r="C1214" s="105">
        <v>44027</v>
      </c>
      <c r="D1214" s="106">
        <v>30.139</v>
      </c>
      <c r="E1214" s="100">
        <v>26.268</v>
      </c>
      <c r="F1214" s="100">
        <v>15</v>
      </c>
      <c r="G1214" s="100">
        <v>-19</v>
      </c>
      <c r="H1214" s="100">
        <v>1</v>
      </c>
      <c r="I1214" s="100">
        <v>-39</v>
      </c>
      <c r="K1214" s="105">
        <v>44027</v>
      </c>
      <c r="L1214" s="100">
        <v>35.902</v>
      </c>
      <c r="M1214" s="106">
        <v>27.644</v>
      </c>
      <c r="N1214" s="100">
        <v>30</v>
      </c>
      <c r="O1214" s="100">
        <v>45</v>
      </c>
      <c r="P1214" s="100">
        <v>66</v>
      </c>
      <c r="Q1214" s="100">
        <v>25</v>
      </c>
      <c r="S1214" s="105">
        <v>44027</v>
      </c>
      <c r="T1214" s="106">
        <f t="shared" si="18"/>
        <v>2.495</v>
      </c>
    </row>
    <row r="1215" spans="3:20">
      <c r="C1215" s="105">
        <v>44026</v>
      </c>
      <c r="D1215" s="106">
        <v>28.762</v>
      </c>
      <c r="E1215" s="100">
        <v>25.623</v>
      </c>
      <c r="F1215" s="100">
        <v>12</v>
      </c>
      <c r="G1215" s="100">
        <v>-19</v>
      </c>
      <c r="H1215" s="100">
        <v>1</v>
      </c>
      <c r="I1215" s="100">
        <v>-39</v>
      </c>
      <c r="K1215" s="105">
        <v>44026</v>
      </c>
      <c r="L1215" s="100">
        <v>35.828</v>
      </c>
      <c r="M1215" s="106">
        <v>27.081</v>
      </c>
      <c r="N1215" s="100">
        <v>32</v>
      </c>
      <c r="O1215" s="100">
        <v>45</v>
      </c>
      <c r="P1215" s="100">
        <v>66</v>
      </c>
      <c r="Q1215" s="100">
        <v>25</v>
      </c>
      <c r="S1215" s="105">
        <v>44026</v>
      </c>
      <c r="T1215" s="106">
        <f t="shared" si="18"/>
        <v>1.681</v>
      </c>
    </row>
    <row r="1216" spans="3:20">
      <c r="C1216" s="105">
        <v>44025</v>
      </c>
      <c r="D1216" s="106">
        <v>30.125</v>
      </c>
      <c r="E1216" s="100">
        <v>26.529</v>
      </c>
      <c r="F1216" s="100">
        <v>14</v>
      </c>
      <c r="G1216" s="100">
        <v>-19</v>
      </c>
      <c r="H1216" s="100">
        <v>1</v>
      </c>
      <c r="I1216" s="100">
        <v>-39</v>
      </c>
      <c r="K1216" s="105">
        <v>44025</v>
      </c>
      <c r="L1216" s="100">
        <v>36.467</v>
      </c>
      <c r="M1216" s="106">
        <v>27.949</v>
      </c>
      <c r="N1216" s="100">
        <v>30</v>
      </c>
      <c r="O1216" s="100">
        <v>45</v>
      </c>
      <c r="P1216" s="100">
        <v>66</v>
      </c>
      <c r="Q1216" s="100">
        <v>25</v>
      </c>
      <c r="S1216" s="105">
        <v>44025</v>
      </c>
      <c r="T1216" s="106">
        <f t="shared" si="18"/>
        <v>2.176</v>
      </c>
    </row>
    <row r="1217" spans="3:20">
      <c r="C1217" s="105">
        <v>44022</v>
      </c>
      <c r="D1217" s="106">
        <v>30.059</v>
      </c>
      <c r="E1217" s="100">
        <v>26.502</v>
      </c>
      <c r="F1217" s="100">
        <v>13</v>
      </c>
      <c r="G1217" s="100">
        <v>-19</v>
      </c>
      <c r="H1217" s="100">
        <v>1</v>
      </c>
      <c r="I1217" s="100">
        <v>-39</v>
      </c>
      <c r="K1217" s="105">
        <v>44022</v>
      </c>
      <c r="L1217" s="100">
        <v>36.034</v>
      </c>
      <c r="M1217" s="106">
        <v>27.863</v>
      </c>
      <c r="N1217" s="100">
        <v>29</v>
      </c>
      <c r="O1217" s="100">
        <v>45</v>
      </c>
      <c r="P1217" s="100">
        <v>66</v>
      </c>
      <c r="Q1217" s="100">
        <v>25</v>
      </c>
      <c r="S1217" s="105">
        <v>44022</v>
      </c>
      <c r="T1217" s="106">
        <f t="shared" si="18"/>
        <v>2.196</v>
      </c>
    </row>
    <row r="1218" spans="3:20">
      <c r="C1218" s="105">
        <v>44021</v>
      </c>
      <c r="D1218" s="106">
        <v>30.248</v>
      </c>
      <c r="E1218" s="100">
        <v>26.512</v>
      </c>
      <c r="F1218" s="100">
        <v>14</v>
      </c>
      <c r="G1218" s="100">
        <v>-19</v>
      </c>
      <c r="H1218" s="100">
        <v>1</v>
      </c>
      <c r="I1218" s="100">
        <v>-39</v>
      </c>
      <c r="K1218" s="105">
        <v>44021</v>
      </c>
      <c r="L1218" s="100">
        <v>36.157</v>
      </c>
      <c r="M1218" s="106">
        <v>27.89</v>
      </c>
      <c r="N1218" s="100">
        <v>30</v>
      </c>
      <c r="O1218" s="100">
        <v>45</v>
      </c>
      <c r="P1218" s="100">
        <v>66</v>
      </c>
      <c r="Q1218" s="100">
        <v>25</v>
      </c>
      <c r="S1218" s="105">
        <v>44021</v>
      </c>
      <c r="T1218" s="106">
        <f t="shared" si="18"/>
        <v>2.358</v>
      </c>
    </row>
    <row r="1219" spans="3:20">
      <c r="C1219" s="105">
        <v>44020</v>
      </c>
      <c r="D1219" s="106">
        <v>30.701</v>
      </c>
      <c r="E1219" s="100">
        <v>26.609</v>
      </c>
      <c r="F1219" s="100">
        <v>15</v>
      </c>
      <c r="G1219" s="100">
        <v>-19</v>
      </c>
      <c r="H1219" s="100">
        <v>1</v>
      </c>
      <c r="I1219" s="100">
        <v>-39</v>
      </c>
      <c r="K1219" s="105">
        <v>44020</v>
      </c>
      <c r="L1219" s="100">
        <v>36.249</v>
      </c>
      <c r="M1219" s="106">
        <v>27.986</v>
      </c>
      <c r="N1219" s="100">
        <v>30</v>
      </c>
      <c r="O1219" s="100">
        <v>45</v>
      </c>
      <c r="P1219" s="100">
        <v>66</v>
      </c>
      <c r="Q1219" s="100">
        <v>25</v>
      </c>
      <c r="S1219" s="105">
        <v>44020</v>
      </c>
      <c r="T1219" s="106">
        <f t="shared" si="18"/>
        <v>2.715</v>
      </c>
    </row>
    <row r="1220" spans="3:20">
      <c r="C1220" s="105">
        <v>44019</v>
      </c>
      <c r="D1220" s="106">
        <v>32.541</v>
      </c>
      <c r="E1220" s="100">
        <v>27.528</v>
      </c>
      <c r="F1220" s="100">
        <v>18</v>
      </c>
      <c r="G1220" s="100">
        <v>-19</v>
      </c>
      <c r="H1220" s="100">
        <v>1</v>
      </c>
      <c r="I1220" s="100">
        <v>-39</v>
      </c>
      <c r="K1220" s="105">
        <v>44019</v>
      </c>
      <c r="L1220" s="100">
        <v>35.779</v>
      </c>
      <c r="M1220" s="106">
        <v>28.707</v>
      </c>
      <c r="N1220" s="100">
        <v>25</v>
      </c>
      <c r="O1220" s="100">
        <v>45</v>
      </c>
      <c r="P1220" s="100">
        <v>66</v>
      </c>
      <c r="Q1220" s="100">
        <v>25</v>
      </c>
      <c r="S1220" s="105">
        <v>44019</v>
      </c>
      <c r="T1220" s="106">
        <f t="shared" si="18"/>
        <v>3.834</v>
      </c>
    </row>
    <row r="1221" spans="3:20">
      <c r="C1221" s="105">
        <v>44018</v>
      </c>
      <c r="D1221" s="106">
        <v>33.585</v>
      </c>
      <c r="E1221" s="100">
        <v>27.987</v>
      </c>
      <c r="F1221" s="100">
        <v>20</v>
      </c>
      <c r="G1221" s="100">
        <v>-19</v>
      </c>
      <c r="H1221" s="100">
        <v>1</v>
      </c>
      <c r="I1221" s="100">
        <v>-39</v>
      </c>
      <c r="K1221" s="105">
        <v>44018</v>
      </c>
      <c r="L1221" s="100">
        <v>36.691</v>
      </c>
      <c r="M1221" s="106">
        <v>29.231</v>
      </c>
      <c r="N1221" s="100">
        <v>26</v>
      </c>
      <c r="O1221" s="100">
        <v>45</v>
      </c>
      <c r="P1221" s="100">
        <v>66</v>
      </c>
      <c r="Q1221" s="100">
        <v>25</v>
      </c>
      <c r="S1221" s="105">
        <v>44018</v>
      </c>
      <c r="T1221" s="106">
        <f t="shared" si="18"/>
        <v>4.354</v>
      </c>
    </row>
    <row r="1222" spans="3:20">
      <c r="C1222" s="105">
        <v>44015</v>
      </c>
      <c r="D1222" s="106">
        <v>36.726</v>
      </c>
      <c r="E1222" s="100">
        <v>28.304</v>
      </c>
      <c r="F1222" s="100">
        <v>30</v>
      </c>
      <c r="G1222" s="100">
        <v>-19</v>
      </c>
      <c r="H1222" s="100">
        <v>1</v>
      </c>
      <c r="I1222" s="100">
        <v>-39</v>
      </c>
      <c r="K1222" s="105">
        <v>44015</v>
      </c>
      <c r="L1222" s="100">
        <v>36.603</v>
      </c>
      <c r="M1222" s="106">
        <v>29.49</v>
      </c>
      <c r="N1222" s="100">
        <v>24</v>
      </c>
      <c r="O1222" s="100">
        <v>45</v>
      </c>
      <c r="P1222" s="100">
        <v>66</v>
      </c>
      <c r="Q1222" s="100">
        <v>25</v>
      </c>
      <c r="S1222" s="105">
        <v>44015</v>
      </c>
      <c r="T1222" s="106">
        <f t="shared" si="18"/>
        <v>7.236</v>
      </c>
    </row>
    <row r="1223" spans="3:20">
      <c r="C1223" s="105">
        <v>44014</v>
      </c>
      <c r="D1223" s="106">
        <v>31.436</v>
      </c>
      <c r="E1223" s="100">
        <v>27.653</v>
      </c>
      <c r="F1223" s="100">
        <v>14</v>
      </c>
      <c r="G1223" s="100">
        <v>-19</v>
      </c>
      <c r="H1223" s="100">
        <v>1</v>
      </c>
      <c r="I1223" s="100">
        <v>-39</v>
      </c>
      <c r="K1223" s="105">
        <v>44014</v>
      </c>
      <c r="L1223" s="100">
        <v>36.437</v>
      </c>
      <c r="M1223" s="106">
        <v>28.908</v>
      </c>
      <c r="N1223" s="100">
        <v>26</v>
      </c>
      <c r="O1223" s="100">
        <v>45</v>
      </c>
      <c r="P1223" s="100">
        <v>66</v>
      </c>
      <c r="Q1223" s="100">
        <v>25</v>
      </c>
      <c r="S1223" s="105">
        <v>44014</v>
      </c>
      <c r="T1223" s="106">
        <f t="shared" si="18"/>
        <v>2.528</v>
      </c>
    </row>
    <row r="1224" spans="3:20">
      <c r="C1224" s="105">
        <v>44013</v>
      </c>
      <c r="D1224" s="106">
        <v>30.519</v>
      </c>
      <c r="E1224" s="100">
        <v>26.995</v>
      </c>
      <c r="F1224" s="100">
        <v>13</v>
      </c>
      <c r="G1224" s="100">
        <v>-19</v>
      </c>
      <c r="H1224" s="100">
        <v>1</v>
      </c>
      <c r="I1224" s="100">
        <v>-39</v>
      </c>
      <c r="K1224" s="105">
        <v>44013</v>
      </c>
      <c r="L1224" s="100">
        <v>35.949</v>
      </c>
      <c r="M1224" s="106">
        <v>28.274</v>
      </c>
      <c r="N1224" s="100">
        <v>27</v>
      </c>
      <c r="O1224" s="100">
        <v>45</v>
      </c>
      <c r="P1224" s="100">
        <v>66</v>
      </c>
      <c r="Q1224" s="100">
        <v>25</v>
      </c>
      <c r="S1224" s="105">
        <v>44013</v>
      </c>
      <c r="T1224" s="106">
        <f t="shared" si="18"/>
        <v>2.245</v>
      </c>
    </row>
    <row r="1225" spans="3:20">
      <c r="C1225" s="105">
        <v>44012</v>
      </c>
      <c r="D1225" s="106">
        <v>30.275</v>
      </c>
      <c r="E1225" s="100">
        <v>27.097</v>
      </c>
      <c r="F1225" s="100">
        <v>12</v>
      </c>
      <c r="G1225" s="100">
        <v>-19</v>
      </c>
      <c r="H1225" s="100">
        <v>1</v>
      </c>
      <c r="I1225" s="100">
        <v>-39</v>
      </c>
      <c r="K1225" s="105">
        <v>44012</v>
      </c>
      <c r="L1225" s="100">
        <v>36.152</v>
      </c>
      <c r="M1225" s="106">
        <v>28.39</v>
      </c>
      <c r="N1225" s="100">
        <v>27</v>
      </c>
      <c r="O1225" s="100">
        <v>45</v>
      </c>
      <c r="P1225" s="100">
        <v>66</v>
      </c>
      <c r="Q1225" s="100">
        <v>25</v>
      </c>
      <c r="S1225" s="105">
        <v>44012</v>
      </c>
      <c r="T1225" s="106">
        <f t="shared" si="18"/>
        <v>1.885</v>
      </c>
    </row>
    <row r="1226" spans="3:20">
      <c r="C1226" s="105">
        <v>44011</v>
      </c>
      <c r="D1226" s="106">
        <v>30.263</v>
      </c>
      <c r="E1226" s="100">
        <v>27.255</v>
      </c>
      <c r="F1226" s="100">
        <v>11</v>
      </c>
      <c r="G1226" s="100">
        <v>-19</v>
      </c>
      <c r="H1226" s="100">
        <v>1</v>
      </c>
      <c r="I1226" s="100">
        <v>-39</v>
      </c>
      <c r="K1226" s="105">
        <v>44011</v>
      </c>
      <c r="L1226" s="100">
        <v>36.276</v>
      </c>
      <c r="M1226" s="106">
        <v>28.544</v>
      </c>
      <c r="N1226" s="100">
        <v>27</v>
      </c>
      <c r="O1226" s="100">
        <v>45</v>
      </c>
      <c r="P1226" s="100">
        <v>66</v>
      </c>
      <c r="Q1226" s="100">
        <v>25</v>
      </c>
      <c r="S1226" s="105">
        <v>44011</v>
      </c>
      <c r="T1226" s="106">
        <f t="shared" si="18"/>
        <v>1.719</v>
      </c>
    </row>
    <row r="1227" spans="3:20">
      <c r="C1227" s="105">
        <v>44008</v>
      </c>
      <c r="D1227" s="106">
        <v>30.821</v>
      </c>
      <c r="E1227" s="100">
        <v>26.975</v>
      </c>
      <c r="F1227" s="100">
        <v>14</v>
      </c>
      <c r="G1227" s="100">
        <v>-19</v>
      </c>
      <c r="H1227" s="100">
        <v>1</v>
      </c>
      <c r="I1227" s="100">
        <v>-39</v>
      </c>
      <c r="K1227" s="105">
        <v>44008</v>
      </c>
      <c r="L1227" s="100">
        <v>36.291</v>
      </c>
      <c r="M1227" s="106">
        <v>28.306</v>
      </c>
      <c r="N1227" s="100">
        <v>28</v>
      </c>
      <c r="O1227" s="100">
        <v>45</v>
      </c>
      <c r="P1227" s="100">
        <v>66</v>
      </c>
      <c r="Q1227" s="100">
        <v>25</v>
      </c>
      <c r="S1227" s="105">
        <v>44008</v>
      </c>
      <c r="T1227" s="106">
        <f t="shared" si="18"/>
        <v>2.515</v>
      </c>
    </row>
    <row r="1228" spans="3:20">
      <c r="C1228" s="105">
        <v>44007</v>
      </c>
      <c r="D1228" s="106">
        <v>31.364</v>
      </c>
      <c r="E1228" s="100">
        <v>27.556</v>
      </c>
      <c r="F1228" s="100">
        <v>14</v>
      </c>
      <c r="G1228" s="100">
        <v>-19</v>
      </c>
      <c r="H1228" s="100">
        <v>1</v>
      </c>
      <c r="I1228" s="100">
        <v>-39</v>
      </c>
      <c r="K1228" s="105">
        <v>44007</v>
      </c>
      <c r="L1228" s="100">
        <v>35.58</v>
      </c>
      <c r="M1228" s="106">
        <v>28.702</v>
      </c>
      <c r="N1228" s="100">
        <v>24</v>
      </c>
      <c r="O1228" s="100">
        <v>45</v>
      </c>
      <c r="P1228" s="100">
        <v>66</v>
      </c>
      <c r="Q1228" s="100">
        <v>25</v>
      </c>
      <c r="S1228" s="105">
        <v>44007</v>
      </c>
      <c r="T1228" s="106">
        <f t="shared" si="18"/>
        <v>2.662</v>
      </c>
    </row>
    <row r="1229" spans="3:20">
      <c r="C1229" s="105">
        <v>44006</v>
      </c>
      <c r="D1229" s="106">
        <v>30.356</v>
      </c>
      <c r="E1229" s="100">
        <v>27.329</v>
      </c>
      <c r="F1229" s="100">
        <v>11</v>
      </c>
      <c r="G1229" s="100">
        <v>-19</v>
      </c>
      <c r="H1229" s="100">
        <v>1</v>
      </c>
      <c r="I1229" s="100">
        <v>-39</v>
      </c>
      <c r="K1229" s="105">
        <v>44006</v>
      </c>
      <c r="L1229" s="100">
        <v>34.897</v>
      </c>
      <c r="M1229" s="106">
        <v>28.41</v>
      </c>
      <c r="N1229" s="100">
        <v>23</v>
      </c>
      <c r="O1229" s="100">
        <v>45</v>
      </c>
      <c r="P1229" s="100">
        <v>66</v>
      </c>
      <c r="Q1229" s="100">
        <v>25</v>
      </c>
      <c r="S1229" s="105">
        <v>44006</v>
      </c>
      <c r="T1229" s="106">
        <f t="shared" si="18"/>
        <v>1.946</v>
      </c>
    </row>
    <row r="1230" spans="3:20">
      <c r="C1230" s="105">
        <v>44005</v>
      </c>
      <c r="D1230" s="106">
        <v>31.782</v>
      </c>
      <c r="E1230" s="100">
        <v>28.427</v>
      </c>
      <c r="F1230" s="100">
        <v>12</v>
      </c>
      <c r="G1230" s="100">
        <v>-19</v>
      </c>
      <c r="H1230" s="100">
        <v>1</v>
      </c>
      <c r="I1230" s="100">
        <v>-39</v>
      </c>
      <c r="K1230" s="105">
        <v>44005</v>
      </c>
      <c r="L1230" s="100">
        <v>36.451</v>
      </c>
      <c r="M1230" s="106">
        <v>29.573</v>
      </c>
      <c r="N1230" s="100">
        <v>23</v>
      </c>
      <c r="O1230" s="100">
        <v>45</v>
      </c>
      <c r="P1230" s="100">
        <v>66</v>
      </c>
      <c r="Q1230" s="100">
        <v>25</v>
      </c>
      <c r="S1230" s="105">
        <v>44005</v>
      </c>
      <c r="T1230" s="106">
        <f t="shared" si="18"/>
        <v>2.209</v>
      </c>
    </row>
    <row r="1231" spans="3:20">
      <c r="C1231" s="105">
        <v>44004</v>
      </c>
      <c r="D1231" s="106">
        <v>31.433</v>
      </c>
      <c r="E1231" s="100">
        <v>28.196</v>
      </c>
      <c r="F1231" s="100">
        <v>11</v>
      </c>
      <c r="G1231" s="100">
        <v>-19</v>
      </c>
      <c r="H1231" s="100">
        <v>1</v>
      </c>
      <c r="I1231" s="100">
        <v>-39</v>
      </c>
      <c r="K1231" s="105">
        <v>44004</v>
      </c>
      <c r="L1231" s="100">
        <v>35.095</v>
      </c>
      <c r="M1231" s="106">
        <v>29.182</v>
      </c>
      <c r="N1231" s="100">
        <v>20</v>
      </c>
      <c r="O1231" s="100">
        <v>45</v>
      </c>
      <c r="P1231" s="100">
        <v>66</v>
      </c>
      <c r="Q1231" s="100">
        <v>25</v>
      </c>
      <c r="S1231" s="105">
        <v>44004</v>
      </c>
      <c r="T1231" s="106">
        <f t="shared" si="18"/>
        <v>2.251</v>
      </c>
    </row>
    <row r="1232" spans="3:20">
      <c r="C1232" s="105">
        <v>44001</v>
      </c>
      <c r="D1232" s="106">
        <v>32.475</v>
      </c>
      <c r="E1232" s="100">
        <v>28.772</v>
      </c>
      <c r="F1232" s="100">
        <v>13</v>
      </c>
      <c r="G1232" s="100">
        <v>-19</v>
      </c>
      <c r="H1232" s="100">
        <v>1</v>
      </c>
      <c r="I1232" s="100">
        <v>-39</v>
      </c>
      <c r="K1232" s="105">
        <v>44001</v>
      </c>
      <c r="L1232" s="100">
        <v>35.961</v>
      </c>
      <c r="M1232" s="106">
        <v>29.799</v>
      </c>
      <c r="N1232" s="100">
        <v>21</v>
      </c>
      <c r="O1232" s="100">
        <v>45</v>
      </c>
      <c r="P1232" s="100">
        <v>66</v>
      </c>
      <c r="Q1232" s="100">
        <v>25</v>
      </c>
      <c r="S1232" s="105">
        <v>44001</v>
      </c>
      <c r="T1232" s="106">
        <f t="shared" si="18"/>
        <v>2.676</v>
      </c>
    </row>
    <row r="1233" spans="3:20">
      <c r="C1233" s="105">
        <v>44000</v>
      </c>
      <c r="D1233" s="106">
        <v>32.262</v>
      </c>
      <c r="E1233" s="100">
        <v>28.669</v>
      </c>
      <c r="F1233" s="100">
        <v>13</v>
      </c>
      <c r="G1233" s="100">
        <v>-19</v>
      </c>
      <c r="H1233" s="100">
        <v>1</v>
      </c>
      <c r="I1233" s="100">
        <v>-39</v>
      </c>
      <c r="K1233" s="105">
        <v>44000</v>
      </c>
      <c r="L1233" s="100">
        <v>35.202</v>
      </c>
      <c r="M1233" s="106">
        <v>29.602</v>
      </c>
      <c r="N1233" s="100">
        <v>19</v>
      </c>
      <c r="O1233" s="100">
        <v>45</v>
      </c>
      <c r="P1233" s="100">
        <v>66</v>
      </c>
      <c r="Q1233" s="100">
        <v>25</v>
      </c>
      <c r="S1233" s="105">
        <v>44000</v>
      </c>
      <c r="T1233" s="106">
        <f t="shared" si="18"/>
        <v>2.66</v>
      </c>
    </row>
    <row r="1234" spans="3:20">
      <c r="C1234" s="105">
        <v>43999</v>
      </c>
      <c r="D1234" s="106">
        <v>34.123</v>
      </c>
      <c r="E1234" s="100">
        <v>29.221</v>
      </c>
      <c r="F1234" s="100">
        <v>17</v>
      </c>
      <c r="G1234" s="100">
        <v>-19</v>
      </c>
      <c r="H1234" s="100">
        <v>1</v>
      </c>
      <c r="I1234" s="100">
        <v>-39</v>
      </c>
      <c r="K1234" s="105">
        <v>43999</v>
      </c>
      <c r="L1234" s="100">
        <v>35.485</v>
      </c>
      <c r="M1234" s="106">
        <v>30.116</v>
      </c>
      <c r="N1234" s="100">
        <v>18</v>
      </c>
      <c r="O1234" s="100">
        <v>45</v>
      </c>
      <c r="P1234" s="100">
        <v>66</v>
      </c>
      <c r="Q1234" s="100">
        <v>25</v>
      </c>
      <c r="S1234" s="105">
        <v>43999</v>
      </c>
      <c r="T1234" s="106">
        <f t="shared" si="18"/>
        <v>4.007</v>
      </c>
    </row>
    <row r="1235" spans="3:20">
      <c r="C1235" s="105">
        <v>43998</v>
      </c>
      <c r="D1235" s="106">
        <v>34.01</v>
      </c>
      <c r="E1235" s="100">
        <v>29.715</v>
      </c>
      <c r="F1235" s="100">
        <v>14</v>
      </c>
      <c r="G1235" s="100">
        <v>-19</v>
      </c>
      <c r="H1235" s="100">
        <v>1</v>
      </c>
      <c r="I1235" s="100">
        <v>-39</v>
      </c>
      <c r="K1235" s="105">
        <v>43998</v>
      </c>
      <c r="L1235" s="100">
        <v>35.392</v>
      </c>
      <c r="M1235" s="106">
        <v>30.526</v>
      </c>
      <c r="N1235" s="100">
        <v>16</v>
      </c>
      <c r="O1235" s="100">
        <v>45</v>
      </c>
      <c r="P1235" s="100">
        <v>66</v>
      </c>
      <c r="Q1235" s="100">
        <v>25</v>
      </c>
      <c r="S1235" s="105">
        <v>43998</v>
      </c>
      <c r="T1235" s="106">
        <f t="shared" si="18"/>
        <v>3.484</v>
      </c>
    </row>
    <row r="1236" spans="3:20">
      <c r="C1236" s="105">
        <v>43997</v>
      </c>
      <c r="D1236" s="106">
        <v>33.256</v>
      </c>
      <c r="E1236" s="100">
        <v>28.509</v>
      </c>
      <c r="F1236" s="100">
        <v>17</v>
      </c>
      <c r="G1236" s="100">
        <v>-19</v>
      </c>
      <c r="H1236" s="100">
        <v>1</v>
      </c>
      <c r="I1236" s="100">
        <v>-39</v>
      </c>
      <c r="K1236" s="105">
        <v>43997</v>
      </c>
      <c r="L1236" s="100">
        <v>34.853</v>
      </c>
      <c r="M1236" s="106">
        <v>29.415</v>
      </c>
      <c r="N1236" s="100">
        <v>18</v>
      </c>
      <c r="O1236" s="100">
        <v>45</v>
      </c>
      <c r="P1236" s="100">
        <v>66</v>
      </c>
      <c r="Q1236" s="100">
        <v>25</v>
      </c>
      <c r="S1236" s="105">
        <v>43997</v>
      </c>
      <c r="T1236" s="106">
        <f t="shared" si="18"/>
        <v>3.841</v>
      </c>
    </row>
    <row r="1237" spans="3:20">
      <c r="C1237" s="105">
        <v>43994</v>
      </c>
      <c r="D1237" s="106">
        <v>33.556</v>
      </c>
      <c r="E1237" s="100">
        <v>28.348</v>
      </c>
      <c r="F1237" s="100">
        <v>18</v>
      </c>
      <c r="G1237" s="100">
        <v>-19</v>
      </c>
      <c r="H1237" s="100">
        <v>1</v>
      </c>
      <c r="I1237" s="100">
        <v>-39</v>
      </c>
      <c r="K1237" s="105">
        <v>43994</v>
      </c>
      <c r="L1237" s="100">
        <v>34.897</v>
      </c>
      <c r="M1237" s="106">
        <v>29.284</v>
      </c>
      <c r="N1237" s="100">
        <v>19</v>
      </c>
      <c r="O1237" s="100">
        <v>45</v>
      </c>
      <c r="P1237" s="100">
        <v>66</v>
      </c>
      <c r="Q1237" s="100">
        <v>25</v>
      </c>
      <c r="S1237" s="105">
        <v>43994</v>
      </c>
      <c r="T1237" s="106">
        <f t="shared" si="18"/>
        <v>4.272</v>
      </c>
    </row>
    <row r="1238" spans="3:20">
      <c r="C1238" s="105">
        <v>43993</v>
      </c>
      <c r="D1238" s="106">
        <v>33.441</v>
      </c>
      <c r="E1238" s="100">
        <v>28.177</v>
      </c>
      <c r="F1238" s="100">
        <v>19</v>
      </c>
      <c r="G1238" s="100">
        <v>-19</v>
      </c>
      <c r="H1238" s="100">
        <v>1</v>
      </c>
      <c r="I1238" s="100">
        <v>-39</v>
      </c>
      <c r="K1238" s="105">
        <v>43993</v>
      </c>
      <c r="L1238" s="100">
        <v>35.484</v>
      </c>
      <c r="M1238" s="106">
        <v>29.221</v>
      </c>
      <c r="N1238" s="100">
        <v>21</v>
      </c>
      <c r="O1238" s="100">
        <v>45</v>
      </c>
      <c r="P1238" s="100">
        <v>66</v>
      </c>
      <c r="Q1238" s="100">
        <v>25</v>
      </c>
      <c r="S1238" s="105">
        <v>43993</v>
      </c>
      <c r="T1238" s="106">
        <f t="shared" ref="T1238:T1282" si="19">D1238-M1238</f>
        <v>4.22</v>
      </c>
    </row>
    <row r="1239" spans="3:20">
      <c r="C1239" s="105">
        <v>43992</v>
      </c>
      <c r="D1239" s="106">
        <v>34.843</v>
      </c>
      <c r="E1239" s="100">
        <v>29.468</v>
      </c>
      <c r="F1239" s="100">
        <v>18</v>
      </c>
      <c r="G1239" s="100">
        <v>-19</v>
      </c>
      <c r="H1239" s="100">
        <v>1</v>
      </c>
      <c r="I1239" s="100">
        <v>-39</v>
      </c>
      <c r="K1239" s="105">
        <v>43992</v>
      </c>
      <c r="L1239" s="100">
        <v>35.383</v>
      </c>
      <c r="M1239" s="106">
        <v>30.313</v>
      </c>
      <c r="N1239" s="100">
        <v>17</v>
      </c>
      <c r="O1239" s="100">
        <v>45</v>
      </c>
      <c r="P1239" s="100">
        <v>66</v>
      </c>
      <c r="Q1239" s="100">
        <v>25</v>
      </c>
      <c r="S1239" s="105">
        <v>43992</v>
      </c>
      <c r="T1239" s="106">
        <f t="shared" si="19"/>
        <v>4.53</v>
      </c>
    </row>
    <row r="1240" spans="3:20">
      <c r="C1240" s="105">
        <v>43991</v>
      </c>
      <c r="D1240" s="106">
        <v>34.854</v>
      </c>
      <c r="E1240" s="100">
        <v>30.254</v>
      </c>
      <c r="F1240" s="100">
        <v>15</v>
      </c>
      <c r="G1240" s="100">
        <v>-19</v>
      </c>
      <c r="H1240" s="100">
        <v>1</v>
      </c>
      <c r="I1240" s="100">
        <v>-39</v>
      </c>
      <c r="K1240" s="105">
        <v>43991</v>
      </c>
      <c r="L1240" s="100">
        <v>34.403</v>
      </c>
      <c r="M1240" s="106">
        <v>30.847</v>
      </c>
      <c r="N1240" s="100">
        <v>12</v>
      </c>
      <c r="O1240" s="100">
        <v>45</v>
      </c>
      <c r="P1240" s="100">
        <v>66</v>
      </c>
      <c r="Q1240" s="100">
        <v>25</v>
      </c>
      <c r="S1240" s="105">
        <v>43991</v>
      </c>
      <c r="T1240" s="106">
        <f t="shared" si="19"/>
        <v>4.007</v>
      </c>
    </row>
    <row r="1241" spans="3:20">
      <c r="C1241" s="105">
        <v>43990</v>
      </c>
      <c r="D1241" s="106">
        <v>35.181</v>
      </c>
      <c r="E1241" s="100">
        <v>31.111</v>
      </c>
      <c r="F1241" s="100">
        <v>13</v>
      </c>
      <c r="G1241" s="100">
        <v>-19</v>
      </c>
      <c r="H1241" s="100">
        <v>1</v>
      </c>
      <c r="I1241" s="100">
        <v>-39</v>
      </c>
      <c r="K1241" s="105">
        <v>43990</v>
      </c>
      <c r="L1241" s="100">
        <v>35.127</v>
      </c>
      <c r="M1241" s="106">
        <v>31.685</v>
      </c>
      <c r="N1241" s="100">
        <v>11</v>
      </c>
      <c r="O1241" s="100">
        <v>45</v>
      </c>
      <c r="P1241" s="100">
        <v>66</v>
      </c>
      <c r="Q1241" s="100">
        <v>25</v>
      </c>
      <c r="S1241" s="105">
        <v>43990</v>
      </c>
      <c r="T1241" s="106">
        <f t="shared" si="19"/>
        <v>3.496</v>
      </c>
    </row>
    <row r="1242" spans="3:20">
      <c r="C1242" s="105">
        <v>43987</v>
      </c>
      <c r="D1242" s="106">
        <v>36.527</v>
      </c>
      <c r="E1242" s="100">
        <v>30.97</v>
      </c>
      <c r="F1242" s="100">
        <v>18</v>
      </c>
      <c r="G1242" s="100">
        <v>-19</v>
      </c>
      <c r="H1242" s="100">
        <v>1</v>
      </c>
      <c r="I1242" s="100">
        <v>-39</v>
      </c>
      <c r="K1242" s="105">
        <v>43987</v>
      </c>
      <c r="L1242" s="100">
        <v>35.874</v>
      </c>
      <c r="M1242" s="106">
        <v>31.671</v>
      </c>
      <c r="N1242" s="100">
        <v>13</v>
      </c>
      <c r="O1242" s="100">
        <v>45</v>
      </c>
      <c r="P1242" s="100">
        <v>66</v>
      </c>
      <c r="Q1242" s="100">
        <v>25</v>
      </c>
      <c r="S1242" s="105">
        <v>43987</v>
      </c>
      <c r="T1242" s="106">
        <f t="shared" si="19"/>
        <v>4.856</v>
      </c>
    </row>
    <row r="1243" spans="3:20">
      <c r="C1243" s="105">
        <v>43986</v>
      </c>
      <c r="D1243" s="106">
        <v>35.192</v>
      </c>
      <c r="E1243" s="100">
        <v>29.143</v>
      </c>
      <c r="F1243" s="100">
        <v>21</v>
      </c>
      <c r="G1243" s="100">
        <v>-19</v>
      </c>
      <c r="H1243" s="100">
        <v>1</v>
      </c>
      <c r="I1243" s="100">
        <v>-39</v>
      </c>
      <c r="K1243" s="105">
        <v>43986</v>
      </c>
      <c r="L1243" s="100">
        <v>36.762</v>
      </c>
      <c r="M1243" s="106">
        <v>30.232</v>
      </c>
      <c r="N1243" s="100">
        <v>22</v>
      </c>
      <c r="O1243" s="100">
        <v>45</v>
      </c>
      <c r="P1243" s="100">
        <v>66</v>
      </c>
      <c r="Q1243" s="100">
        <v>25</v>
      </c>
      <c r="S1243" s="105">
        <v>43986</v>
      </c>
      <c r="T1243" s="106">
        <f t="shared" si="19"/>
        <v>4.96</v>
      </c>
    </row>
    <row r="1244" spans="3:20">
      <c r="C1244" s="105">
        <v>43985</v>
      </c>
      <c r="D1244" s="106">
        <v>35.547</v>
      </c>
      <c r="E1244" s="100">
        <v>29.286</v>
      </c>
      <c r="F1244" s="100">
        <v>21</v>
      </c>
      <c r="G1244" s="100">
        <v>-19</v>
      </c>
      <c r="H1244" s="100">
        <v>1</v>
      </c>
      <c r="I1244" s="100">
        <v>-39</v>
      </c>
      <c r="K1244" s="105">
        <v>43985</v>
      </c>
      <c r="L1244" s="100">
        <v>36.691</v>
      </c>
      <c r="M1244" s="106">
        <v>30.344</v>
      </c>
      <c r="N1244" s="100">
        <v>21</v>
      </c>
      <c r="O1244" s="100">
        <v>45</v>
      </c>
      <c r="P1244" s="100">
        <v>66</v>
      </c>
      <c r="Q1244" s="100">
        <v>25</v>
      </c>
      <c r="S1244" s="105">
        <v>43985</v>
      </c>
      <c r="T1244" s="106">
        <f t="shared" si="19"/>
        <v>5.203</v>
      </c>
    </row>
    <row r="1245" spans="3:20">
      <c r="C1245" s="105">
        <v>43984</v>
      </c>
      <c r="D1245" s="106">
        <v>35.757</v>
      </c>
      <c r="E1245" s="100">
        <v>28.715</v>
      </c>
      <c r="F1245" s="100">
        <v>25</v>
      </c>
      <c r="G1245" s="100">
        <v>-19</v>
      </c>
      <c r="H1245" s="100">
        <v>1</v>
      </c>
      <c r="I1245" s="100">
        <v>-39</v>
      </c>
      <c r="K1245" s="105">
        <v>43984</v>
      </c>
      <c r="L1245" s="100">
        <v>35.9</v>
      </c>
      <c r="M1245" s="106">
        <v>29.741</v>
      </c>
      <c r="N1245" s="100">
        <v>21</v>
      </c>
      <c r="O1245" s="100">
        <v>45</v>
      </c>
      <c r="P1245" s="100">
        <v>66</v>
      </c>
      <c r="Q1245" s="100">
        <v>25</v>
      </c>
      <c r="S1245" s="105">
        <v>43984</v>
      </c>
      <c r="T1245" s="106">
        <f t="shared" si="19"/>
        <v>6.016</v>
      </c>
    </row>
    <row r="1246" spans="3:20">
      <c r="C1246" s="105">
        <v>43983</v>
      </c>
      <c r="D1246" s="106">
        <v>35.261</v>
      </c>
      <c r="E1246" s="100">
        <v>27.851</v>
      </c>
      <c r="F1246" s="100">
        <v>27</v>
      </c>
      <c r="G1246" s="100">
        <v>-19</v>
      </c>
      <c r="H1246" s="100">
        <v>1</v>
      </c>
      <c r="I1246" s="100">
        <v>-39</v>
      </c>
      <c r="K1246" s="105">
        <v>43983</v>
      </c>
      <c r="L1246" s="100">
        <v>36.176</v>
      </c>
      <c r="M1246" s="106">
        <v>29.04</v>
      </c>
      <c r="N1246" s="100">
        <v>25</v>
      </c>
      <c r="O1246" s="100">
        <v>45</v>
      </c>
      <c r="P1246" s="100">
        <v>66</v>
      </c>
      <c r="Q1246" s="100">
        <v>25</v>
      </c>
      <c r="S1246" s="105">
        <v>43983</v>
      </c>
      <c r="T1246" s="106">
        <f t="shared" si="19"/>
        <v>6.221</v>
      </c>
    </row>
    <row r="1247" spans="3:20">
      <c r="C1247" s="105">
        <v>43980</v>
      </c>
      <c r="D1247" s="106">
        <v>35.515</v>
      </c>
      <c r="E1247" s="100">
        <v>27.454</v>
      </c>
      <c r="F1247" s="100">
        <v>29</v>
      </c>
      <c r="G1247" s="100">
        <v>-19</v>
      </c>
      <c r="H1247" s="100">
        <v>1</v>
      </c>
      <c r="I1247" s="100">
        <v>-39</v>
      </c>
      <c r="K1247" s="105">
        <v>43980</v>
      </c>
      <c r="L1247" s="100">
        <v>35.777</v>
      </c>
      <c r="M1247" s="106">
        <v>28.643</v>
      </c>
      <c r="N1247" s="100">
        <v>25</v>
      </c>
      <c r="O1247" s="100">
        <v>45</v>
      </c>
      <c r="P1247" s="100">
        <v>66</v>
      </c>
      <c r="Q1247" s="100">
        <v>25</v>
      </c>
      <c r="S1247" s="105">
        <v>43980</v>
      </c>
      <c r="T1247" s="106">
        <f t="shared" si="19"/>
        <v>6.872</v>
      </c>
    </row>
    <row r="1248" spans="3:20">
      <c r="C1248" s="105">
        <v>43979</v>
      </c>
      <c r="D1248" s="106">
        <v>35.855</v>
      </c>
      <c r="E1248" s="100">
        <v>28.449</v>
      </c>
      <c r="F1248" s="100">
        <v>26</v>
      </c>
      <c r="G1248" s="100">
        <v>-19</v>
      </c>
      <c r="H1248" s="100">
        <v>1</v>
      </c>
      <c r="I1248" s="100">
        <v>-39</v>
      </c>
      <c r="K1248" s="105">
        <v>43979</v>
      </c>
      <c r="L1248" s="100">
        <v>36.685</v>
      </c>
      <c r="M1248" s="106">
        <v>29.626</v>
      </c>
      <c r="N1248" s="100">
        <v>24</v>
      </c>
      <c r="O1248" s="100">
        <v>45</v>
      </c>
      <c r="P1248" s="100">
        <v>66</v>
      </c>
      <c r="Q1248" s="100">
        <v>25</v>
      </c>
      <c r="S1248" s="105">
        <v>43979</v>
      </c>
      <c r="T1248" s="106">
        <f t="shared" si="19"/>
        <v>6.229</v>
      </c>
    </row>
    <row r="1249" spans="3:20">
      <c r="C1249" s="105">
        <v>43978</v>
      </c>
      <c r="D1249" s="106">
        <v>35.69</v>
      </c>
      <c r="E1249" s="100">
        <v>27.969</v>
      </c>
      <c r="F1249" s="100">
        <v>28</v>
      </c>
      <c r="G1249" s="100">
        <v>-19</v>
      </c>
      <c r="H1249" s="100">
        <v>1</v>
      </c>
      <c r="I1249" s="100">
        <v>-39</v>
      </c>
      <c r="K1249" s="105">
        <v>43978</v>
      </c>
      <c r="L1249" s="100">
        <v>35.713</v>
      </c>
      <c r="M1249" s="106">
        <v>29.075</v>
      </c>
      <c r="N1249" s="100">
        <v>23</v>
      </c>
      <c r="O1249" s="100">
        <v>45</v>
      </c>
      <c r="P1249" s="100">
        <v>66</v>
      </c>
      <c r="Q1249" s="100">
        <v>25</v>
      </c>
      <c r="S1249" s="105">
        <v>43978</v>
      </c>
      <c r="T1249" s="106">
        <f t="shared" si="19"/>
        <v>6.615</v>
      </c>
    </row>
    <row r="1250" spans="3:20">
      <c r="C1250" s="105">
        <v>43977</v>
      </c>
      <c r="D1250" s="106">
        <v>34.541</v>
      </c>
      <c r="E1250" s="100">
        <v>26.791</v>
      </c>
      <c r="F1250" s="100">
        <v>29</v>
      </c>
      <c r="G1250" s="100">
        <v>-19</v>
      </c>
      <c r="H1250" s="100">
        <v>1</v>
      </c>
      <c r="I1250" s="100">
        <v>-39</v>
      </c>
      <c r="K1250" s="105">
        <v>43977</v>
      </c>
      <c r="L1250" s="100">
        <v>36.9</v>
      </c>
      <c r="M1250" s="106">
        <v>28.235</v>
      </c>
      <c r="N1250" s="100">
        <v>31</v>
      </c>
      <c r="O1250" s="100">
        <v>45</v>
      </c>
      <c r="P1250" s="100">
        <v>66</v>
      </c>
      <c r="Q1250" s="100">
        <v>25</v>
      </c>
      <c r="S1250" s="105">
        <v>43977</v>
      </c>
      <c r="T1250" s="106">
        <f t="shared" si="19"/>
        <v>6.306</v>
      </c>
    </row>
    <row r="1251" spans="3:20">
      <c r="C1251" s="105">
        <v>43973</v>
      </c>
      <c r="D1251" s="106">
        <v>31.717</v>
      </c>
      <c r="E1251" s="100">
        <v>25.245</v>
      </c>
      <c r="F1251" s="100">
        <v>26</v>
      </c>
      <c r="G1251" s="100">
        <v>-19</v>
      </c>
      <c r="H1251" s="100">
        <v>1</v>
      </c>
      <c r="I1251" s="100">
        <v>-39</v>
      </c>
      <c r="K1251" s="105">
        <v>43973</v>
      </c>
      <c r="L1251" s="100">
        <v>37.663</v>
      </c>
      <c r="M1251" s="106">
        <v>27.019</v>
      </c>
      <c r="N1251" s="100">
        <v>39</v>
      </c>
      <c r="O1251" s="100">
        <v>45</v>
      </c>
      <c r="P1251" s="100">
        <v>66</v>
      </c>
      <c r="Q1251" s="100">
        <v>25</v>
      </c>
      <c r="S1251" s="105">
        <v>43973</v>
      </c>
      <c r="T1251" s="106">
        <f t="shared" si="19"/>
        <v>4.698</v>
      </c>
    </row>
    <row r="1252" spans="3:20">
      <c r="C1252" s="105">
        <v>43972</v>
      </c>
      <c r="D1252" s="106">
        <v>32.086</v>
      </c>
      <c r="E1252" s="100">
        <v>25.192</v>
      </c>
      <c r="F1252" s="100">
        <v>27</v>
      </c>
      <c r="G1252" s="100">
        <v>-19</v>
      </c>
      <c r="H1252" s="100">
        <v>1</v>
      </c>
      <c r="I1252" s="100">
        <v>-39</v>
      </c>
      <c r="K1252" s="105">
        <v>43972</v>
      </c>
      <c r="L1252" s="100">
        <v>37.269</v>
      </c>
      <c r="M1252" s="106">
        <v>26.917</v>
      </c>
      <c r="N1252" s="100">
        <v>38</v>
      </c>
      <c r="O1252" s="100">
        <v>45</v>
      </c>
      <c r="P1252" s="100">
        <v>66</v>
      </c>
      <c r="Q1252" s="100">
        <v>25</v>
      </c>
      <c r="S1252" s="105">
        <v>43972</v>
      </c>
      <c r="T1252" s="106">
        <f t="shared" si="19"/>
        <v>5.169</v>
      </c>
    </row>
    <row r="1253" spans="3:20">
      <c r="C1253" s="105">
        <v>43971</v>
      </c>
      <c r="D1253" s="106">
        <v>32.24</v>
      </c>
      <c r="E1253" s="100">
        <v>25.12</v>
      </c>
      <c r="F1253" s="100">
        <v>28</v>
      </c>
      <c r="G1253" s="100">
        <v>-19</v>
      </c>
      <c r="H1253" s="100">
        <v>1</v>
      </c>
      <c r="I1253" s="100">
        <v>-39</v>
      </c>
      <c r="K1253" s="105">
        <v>43971</v>
      </c>
      <c r="L1253" s="100">
        <v>37.377</v>
      </c>
      <c r="M1253" s="106">
        <v>26.871</v>
      </c>
      <c r="N1253" s="100">
        <v>39</v>
      </c>
      <c r="O1253" s="100">
        <v>45</v>
      </c>
      <c r="P1253" s="100">
        <v>66</v>
      </c>
      <c r="Q1253" s="100">
        <v>25</v>
      </c>
      <c r="S1253" s="105">
        <v>43971</v>
      </c>
      <c r="T1253" s="106">
        <f t="shared" si="19"/>
        <v>5.369</v>
      </c>
    </row>
    <row r="1254" spans="3:20">
      <c r="C1254" s="105">
        <v>43970</v>
      </c>
      <c r="D1254" s="106">
        <v>31.884</v>
      </c>
      <c r="E1254" s="100">
        <v>24.419</v>
      </c>
      <c r="F1254" s="100">
        <v>31</v>
      </c>
      <c r="G1254" s="100">
        <v>-19</v>
      </c>
      <c r="H1254" s="100">
        <v>1</v>
      </c>
      <c r="I1254" s="100">
        <v>-39</v>
      </c>
      <c r="K1254" s="105">
        <v>43970</v>
      </c>
      <c r="L1254" s="100">
        <v>36.893</v>
      </c>
      <c r="M1254" s="106">
        <v>26.201</v>
      </c>
      <c r="N1254" s="100">
        <v>41</v>
      </c>
      <c r="O1254" s="100">
        <v>45</v>
      </c>
      <c r="P1254" s="100">
        <v>66</v>
      </c>
      <c r="Q1254" s="100">
        <v>25</v>
      </c>
      <c r="S1254" s="105">
        <v>43970</v>
      </c>
      <c r="T1254" s="106">
        <f t="shared" si="19"/>
        <v>5.683</v>
      </c>
    </row>
    <row r="1255" spans="3:20">
      <c r="C1255" s="105">
        <v>43969</v>
      </c>
      <c r="D1255" s="106">
        <v>31.081</v>
      </c>
      <c r="E1255" s="100">
        <v>24.396</v>
      </c>
      <c r="F1255" s="100">
        <v>27</v>
      </c>
      <c r="G1255" s="100">
        <v>-19</v>
      </c>
      <c r="H1255" s="100">
        <v>1</v>
      </c>
      <c r="I1255" s="100">
        <v>-39</v>
      </c>
      <c r="K1255" s="105">
        <v>43969</v>
      </c>
      <c r="L1255" s="100">
        <v>36.832</v>
      </c>
      <c r="M1255" s="106">
        <v>26.173</v>
      </c>
      <c r="N1255" s="100">
        <v>41</v>
      </c>
      <c r="O1255" s="100">
        <v>45</v>
      </c>
      <c r="P1255" s="100">
        <v>66</v>
      </c>
      <c r="Q1255" s="100">
        <v>25</v>
      </c>
      <c r="S1255" s="105">
        <v>43969</v>
      </c>
      <c r="T1255" s="106">
        <f t="shared" si="19"/>
        <v>4.908</v>
      </c>
    </row>
    <row r="1256" spans="3:20">
      <c r="C1256" s="105">
        <v>43966</v>
      </c>
      <c r="D1256" s="106">
        <v>29.862</v>
      </c>
      <c r="E1256" s="100">
        <v>22.713</v>
      </c>
      <c r="F1256" s="100">
        <v>31</v>
      </c>
      <c r="G1256" s="100">
        <v>-19</v>
      </c>
      <c r="H1256" s="100">
        <v>1</v>
      </c>
      <c r="I1256" s="100">
        <v>-39</v>
      </c>
      <c r="K1256" s="105">
        <v>43966</v>
      </c>
      <c r="L1256" s="100">
        <v>35.638</v>
      </c>
      <c r="M1256" s="106">
        <v>24.559</v>
      </c>
      <c r="N1256" s="100">
        <v>45</v>
      </c>
      <c r="O1256" s="100">
        <v>45</v>
      </c>
      <c r="P1256" s="100">
        <v>66</v>
      </c>
      <c r="Q1256" s="100">
        <v>25</v>
      </c>
      <c r="S1256" s="105">
        <v>43966</v>
      </c>
      <c r="T1256" s="106">
        <f t="shared" si="19"/>
        <v>5.303</v>
      </c>
    </row>
    <row r="1257" spans="3:20">
      <c r="C1257" s="105">
        <v>43965</v>
      </c>
      <c r="D1257" s="106">
        <v>30.027</v>
      </c>
      <c r="E1257" s="100">
        <v>22.717</v>
      </c>
      <c r="F1257" s="100">
        <v>32</v>
      </c>
      <c r="G1257" s="100">
        <v>-19</v>
      </c>
      <c r="H1257" s="100">
        <v>1</v>
      </c>
      <c r="I1257" s="100">
        <v>-39</v>
      </c>
      <c r="K1257" s="105">
        <v>43965</v>
      </c>
      <c r="L1257" s="100">
        <v>35.192</v>
      </c>
      <c r="M1257" s="106">
        <v>24.499</v>
      </c>
      <c r="N1257" s="100">
        <v>44</v>
      </c>
      <c r="O1257" s="100">
        <v>45</v>
      </c>
      <c r="P1257" s="100">
        <v>66</v>
      </c>
      <c r="Q1257" s="100">
        <v>25</v>
      </c>
      <c r="S1257" s="105">
        <v>43965</v>
      </c>
      <c r="T1257" s="106">
        <f t="shared" si="19"/>
        <v>5.528</v>
      </c>
    </row>
    <row r="1258" spans="3:20">
      <c r="C1258" s="105">
        <v>43964</v>
      </c>
      <c r="D1258" s="106">
        <v>30.36</v>
      </c>
      <c r="E1258" s="100">
        <v>23.126</v>
      </c>
      <c r="F1258" s="100">
        <v>31</v>
      </c>
      <c r="G1258" s="100">
        <v>-19</v>
      </c>
      <c r="H1258" s="100">
        <v>1</v>
      </c>
      <c r="I1258" s="100">
        <v>-39</v>
      </c>
      <c r="K1258" s="105">
        <v>43964</v>
      </c>
      <c r="L1258" s="100">
        <v>35.741</v>
      </c>
      <c r="M1258" s="106">
        <v>24.929</v>
      </c>
      <c r="N1258" s="100">
        <v>43</v>
      </c>
      <c r="O1258" s="100">
        <v>45</v>
      </c>
      <c r="P1258" s="100">
        <v>66</v>
      </c>
      <c r="Q1258" s="100">
        <v>25</v>
      </c>
      <c r="S1258" s="105">
        <v>43964</v>
      </c>
      <c r="T1258" s="106">
        <f t="shared" si="19"/>
        <v>5.431</v>
      </c>
    </row>
    <row r="1259" spans="3:20">
      <c r="C1259" s="105">
        <v>43963</v>
      </c>
      <c r="D1259" s="106">
        <v>31.311</v>
      </c>
      <c r="E1259" s="100">
        <v>24.149</v>
      </c>
      <c r="F1259" s="100">
        <v>30</v>
      </c>
      <c r="G1259" s="100">
        <v>-19</v>
      </c>
      <c r="H1259" s="100">
        <v>1</v>
      </c>
      <c r="I1259" s="100">
        <v>-39</v>
      </c>
      <c r="K1259" s="105">
        <v>43963</v>
      </c>
      <c r="L1259" s="100">
        <v>36.024</v>
      </c>
      <c r="M1259" s="106">
        <v>25.845</v>
      </c>
      <c r="N1259" s="100">
        <v>39</v>
      </c>
      <c r="O1259" s="100">
        <v>45</v>
      </c>
      <c r="P1259" s="100">
        <v>66</v>
      </c>
      <c r="Q1259" s="100">
        <v>25</v>
      </c>
      <c r="S1259" s="105">
        <v>43963</v>
      </c>
      <c r="T1259" s="106">
        <f t="shared" si="19"/>
        <v>5.466</v>
      </c>
    </row>
    <row r="1260" spans="3:20">
      <c r="C1260" s="105">
        <v>43962</v>
      </c>
      <c r="D1260" s="106">
        <v>26.639</v>
      </c>
      <c r="E1260" s="100">
        <v>22.981</v>
      </c>
      <c r="F1260" s="100">
        <v>16</v>
      </c>
      <c r="G1260" s="100">
        <v>-19</v>
      </c>
      <c r="H1260" s="100">
        <v>1</v>
      </c>
      <c r="I1260" s="100">
        <v>-39</v>
      </c>
      <c r="K1260" s="105">
        <v>43962</v>
      </c>
      <c r="L1260" s="100">
        <v>35.383</v>
      </c>
      <c r="M1260" s="106">
        <v>24.753</v>
      </c>
      <c r="N1260" s="100">
        <v>43</v>
      </c>
      <c r="O1260" s="100">
        <v>45</v>
      </c>
      <c r="P1260" s="100">
        <v>66</v>
      </c>
      <c r="Q1260" s="100">
        <v>25</v>
      </c>
      <c r="S1260" s="105">
        <v>43962</v>
      </c>
      <c r="T1260" s="106">
        <f t="shared" si="19"/>
        <v>1.886</v>
      </c>
    </row>
    <row r="1261" spans="3:20">
      <c r="C1261" s="105">
        <v>43958</v>
      </c>
      <c r="D1261" s="106">
        <v>27.578</v>
      </c>
      <c r="E1261" s="100">
        <v>22.154</v>
      </c>
      <c r="F1261" s="100">
        <v>24</v>
      </c>
      <c r="G1261" s="100">
        <v>-19</v>
      </c>
      <c r="H1261" s="100">
        <v>1</v>
      </c>
      <c r="I1261" s="100">
        <v>-39</v>
      </c>
      <c r="K1261" s="105">
        <v>43958</v>
      </c>
      <c r="L1261" s="100">
        <v>34.846</v>
      </c>
      <c r="M1261" s="106">
        <v>23.967</v>
      </c>
      <c r="N1261" s="100">
        <v>45</v>
      </c>
      <c r="O1261" s="100">
        <v>45</v>
      </c>
      <c r="P1261" s="100">
        <v>66</v>
      </c>
      <c r="Q1261" s="100">
        <v>25</v>
      </c>
      <c r="S1261" s="105">
        <v>43958</v>
      </c>
      <c r="T1261" s="106">
        <f t="shared" si="19"/>
        <v>3.611</v>
      </c>
    </row>
    <row r="1262" spans="3:20">
      <c r="C1262" s="105">
        <v>43957</v>
      </c>
      <c r="D1262" s="106">
        <v>25.88</v>
      </c>
      <c r="E1262" s="100">
        <v>21.247</v>
      </c>
      <c r="F1262" s="100">
        <v>22</v>
      </c>
      <c r="G1262" s="100">
        <v>-19</v>
      </c>
      <c r="H1262" s="100">
        <v>1</v>
      </c>
      <c r="I1262" s="100">
        <v>-39</v>
      </c>
      <c r="K1262" s="105">
        <v>43957</v>
      </c>
      <c r="L1262" s="100">
        <v>34.185</v>
      </c>
      <c r="M1262" s="106">
        <v>23.095</v>
      </c>
      <c r="N1262" s="100">
        <v>48</v>
      </c>
      <c r="O1262" s="100">
        <v>45</v>
      </c>
      <c r="P1262" s="100">
        <v>66</v>
      </c>
      <c r="Q1262" s="100">
        <v>25</v>
      </c>
      <c r="S1262" s="105">
        <v>43957</v>
      </c>
      <c r="T1262" s="106">
        <f t="shared" si="19"/>
        <v>2.785</v>
      </c>
    </row>
    <row r="1263" spans="3:20">
      <c r="C1263" s="105">
        <v>43956</v>
      </c>
      <c r="D1263" s="106">
        <v>24.418</v>
      </c>
      <c r="E1263" s="100">
        <v>20.776</v>
      </c>
      <c r="F1263" s="100">
        <v>18</v>
      </c>
      <c r="G1263" s="100">
        <v>-19</v>
      </c>
      <c r="H1263" s="100">
        <v>1</v>
      </c>
      <c r="I1263" s="100">
        <v>-39</v>
      </c>
      <c r="K1263" s="105">
        <v>43956</v>
      </c>
      <c r="L1263" s="100">
        <v>33.808</v>
      </c>
      <c r="M1263" s="106">
        <v>22.638</v>
      </c>
      <c r="N1263" s="100">
        <v>49</v>
      </c>
      <c r="O1263" s="100">
        <v>45</v>
      </c>
      <c r="P1263" s="100">
        <v>66</v>
      </c>
      <c r="Q1263" s="100">
        <v>25</v>
      </c>
      <c r="S1263" s="105">
        <v>43956</v>
      </c>
      <c r="T1263" s="106">
        <f t="shared" si="19"/>
        <v>1.78</v>
      </c>
    </row>
    <row r="1264" spans="3:20">
      <c r="C1264" s="105">
        <v>43955</v>
      </c>
      <c r="D1264" s="106">
        <v>23.911</v>
      </c>
      <c r="E1264" s="100">
        <v>20.81</v>
      </c>
      <c r="F1264" s="100">
        <v>15</v>
      </c>
      <c r="G1264" s="100">
        <v>-19</v>
      </c>
      <c r="H1264" s="100">
        <v>1</v>
      </c>
      <c r="I1264" s="100">
        <v>-39</v>
      </c>
      <c r="K1264" s="105">
        <v>43955</v>
      </c>
      <c r="L1264" s="100">
        <v>33.092</v>
      </c>
      <c r="M1264" s="106">
        <v>22.565</v>
      </c>
      <c r="N1264" s="100">
        <v>47</v>
      </c>
      <c r="O1264" s="100">
        <v>45</v>
      </c>
      <c r="P1264" s="100">
        <v>66</v>
      </c>
      <c r="Q1264" s="100">
        <v>25</v>
      </c>
      <c r="S1264" s="105">
        <v>43955</v>
      </c>
      <c r="T1264" s="106">
        <f t="shared" si="19"/>
        <v>1.346</v>
      </c>
    </row>
    <row r="1265" spans="3:20">
      <c r="C1265" s="105">
        <v>43952</v>
      </c>
      <c r="D1265" s="106">
        <v>24.239</v>
      </c>
      <c r="E1265" s="100">
        <v>21.587</v>
      </c>
      <c r="F1265" s="100">
        <v>12</v>
      </c>
      <c r="G1265" s="100">
        <v>-19</v>
      </c>
      <c r="H1265" s="100">
        <v>1</v>
      </c>
      <c r="I1265" s="100">
        <v>-39</v>
      </c>
      <c r="K1265" s="105">
        <v>43952</v>
      </c>
      <c r="L1265" s="100">
        <v>33.074</v>
      </c>
      <c r="M1265" s="106">
        <v>23.228</v>
      </c>
      <c r="N1265" s="100">
        <v>42</v>
      </c>
      <c r="O1265" s="100">
        <v>45</v>
      </c>
      <c r="P1265" s="100">
        <v>66</v>
      </c>
      <c r="Q1265" s="100">
        <v>25</v>
      </c>
      <c r="S1265" s="105">
        <v>43952</v>
      </c>
      <c r="T1265" s="106">
        <f t="shared" si="19"/>
        <v>1.011</v>
      </c>
    </row>
    <row r="1266" spans="3:20">
      <c r="C1266" s="105">
        <v>43951</v>
      </c>
      <c r="D1266" s="106">
        <v>24.358</v>
      </c>
      <c r="E1266" s="100">
        <v>21.291</v>
      </c>
      <c r="F1266" s="100">
        <v>14</v>
      </c>
      <c r="G1266" s="100">
        <v>-19</v>
      </c>
      <c r="H1266" s="100">
        <v>1</v>
      </c>
      <c r="I1266" s="100">
        <v>-39</v>
      </c>
      <c r="K1266" s="105">
        <v>43951</v>
      </c>
      <c r="L1266" s="100">
        <v>33.017</v>
      </c>
      <c r="M1266" s="106">
        <v>22.966</v>
      </c>
      <c r="N1266" s="100">
        <v>44</v>
      </c>
      <c r="O1266" s="100">
        <v>45</v>
      </c>
      <c r="P1266" s="100">
        <v>66</v>
      </c>
      <c r="Q1266" s="100">
        <v>25</v>
      </c>
      <c r="S1266" s="105">
        <v>43951</v>
      </c>
      <c r="T1266" s="106">
        <f t="shared" si="19"/>
        <v>1.392</v>
      </c>
    </row>
    <row r="1267" spans="3:20">
      <c r="C1267" s="105">
        <v>43950</v>
      </c>
      <c r="D1267" s="106">
        <v>24.718</v>
      </c>
      <c r="E1267" s="100">
        <v>21.859</v>
      </c>
      <c r="F1267" s="100">
        <v>13</v>
      </c>
      <c r="G1267" s="100">
        <v>-19</v>
      </c>
      <c r="H1267" s="100">
        <v>1</v>
      </c>
      <c r="I1267" s="100">
        <v>-39</v>
      </c>
      <c r="K1267" s="105">
        <v>43950</v>
      </c>
      <c r="L1267" s="100">
        <v>33.599</v>
      </c>
      <c r="M1267" s="106">
        <v>23.537</v>
      </c>
      <c r="N1267" s="100">
        <v>43</v>
      </c>
      <c r="O1267" s="100">
        <v>45</v>
      </c>
      <c r="P1267" s="100">
        <v>66</v>
      </c>
      <c r="Q1267" s="100">
        <v>25</v>
      </c>
      <c r="S1267" s="105">
        <v>43950</v>
      </c>
      <c r="T1267" s="106">
        <f t="shared" si="19"/>
        <v>1.181</v>
      </c>
    </row>
    <row r="1268" spans="3:20">
      <c r="C1268" s="105">
        <v>43949</v>
      </c>
      <c r="D1268" s="106">
        <v>24.191</v>
      </c>
      <c r="E1268" s="100">
        <v>20.832</v>
      </c>
      <c r="F1268" s="100">
        <v>16</v>
      </c>
      <c r="G1268" s="100">
        <v>-19</v>
      </c>
      <c r="H1268" s="100">
        <v>1</v>
      </c>
      <c r="I1268" s="100">
        <v>-39</v>
      </c>
      <c r="K1268" s="105">
        <v>43949</v>
      </c>
      <c r="L1268" s="100">
        <v>32.856</v>
      </c>
      <c r="M1268" s="106">
        <v>22.55</v>
      </c>
      <c r="N1268" s="100">
        <v>46</v>
      </c>
      <c r="O1268" s="100">
        <v>45</v>
      </c>
      <c r="P1268" s="100">
        <v>66</v>
      </c>
      <c r="Q1268" s="100">
        <v>25</v>
      </c>
      <c r="S1268" s="105">
        <v>43949</v>
      </c>
      <c r="T1268" s="106">
        <f t="shared" si="19"/>
        <v>1.641</v>
      </c>
    </row>
    <row r="1269" spans="3:20">
      <c r="C1269" s="105">
        <v>43948</v>
      </c>
      <c r="D1269" s="106">
        <v>22.356</v>
      </c>
      <c r="E1269" s="100">
        <v>20.214</v>
      </c>
      <c r="F1269" s="100">
        <v>11</v>
      </c>
      <c r="G1269" s="100">
        <v>-19</v>
      </c>
      <c r="H1269" s="100">
        <v>1</v>
      </c>
      <c r="I1269" s="100">
        <v>-39</v>
      </c>
      <c r="K1269" s="105">
        <v>43948</v>
      </c>
      <c r="L1269" s="100">
        <v>32.863</v>
      </c>
      <c r="M1269" s="106">
        <v>22.021</v>
      </c>
      <c r="N1269" s="100">
        <v>49</v>
      </c>
      <c r="O1269" s="100">
        <v>45</v>
      </c>
      <c r="P1269" s="100">
        <v>66</v>
      </c>
      <c r="Q1269" s="100">
        <v>25</v>
      </c>
      <c r="S1269" s="105">
        <v>43948</v>
      </c>
      <c r="T1269" s="106">
        <f t="shared" si="19"/>
        <v>0.335000000000001</v>
      </c>
    </row>
    <row r="1270" spans="3:20">
      <c r="C1270" s="105">
        <v>43945</v>
      </c>
      <c r="D1270" s="106">
        <v>23.874</v>
      </c>
      <c r="E1270" s="100">
        <v>19.853</v>
      </c>
      <c r="F1270" s="100">
        <v>20</v>
      </c>
      <c r="G1270" s="100">
        <v>-19</v>
      </c>
      <c r="H1270" s="100">
        <v>1</v>
      </c>
      <c r="I1270" s="100">
        <v>-39</v>
      </c>
      <c r="K1270" s="105">
        <v>43945</v>
      </c>
      <c r="L1270" s="100">
        <v>32.607</v>
      </c>
      <c r="M1270" s="106">
        <v>21.675</v>
      </c>
      <c r="N1270" s="100">
        <v>50</v>
      </c>
      <c r="O1270" s="100">
        <v>45</v>
      </c>
      <c r="P1270" s="100">
        <v>66</v>
      </c>
      <c r="Q1270" s="100">
        <v>25</v>
      </c>
      <c r="S1270" s="105">
        <v>43945</v>
      </c>
      <c r="T1270" s="106">
        <f t="shared" si="19"/>
        <v>2.199</v>
      </c>
    </row>
    <row r="1271" spans="3:20">
      <c r="C1271" s="105">
        <v>43944</v>
      </c>
      <c r="D1271" s="106">
        <v>23.917</v>
      </c>
      <c r="E1271" s="100">
        <v>20.292</v>
      </c>
      <c r="F1271" s="100">
        <v>18</v>
      </c>
      <c r="G1271" s="100">
        <v>-19</v>
      </c>
      <c r="H1271" s="100">
        <v>1</v>
      </c>
      <c r="I1271" s="100">
        <v>-39</v>
      </c>
      <c r="K1271" s="105">
        <v>43944</v>
      </c>
      <c r="L1271" s="100">
        <v>33.138</v>
      </c>
      <c r="M1271" s="106">
        <v>22.127</v>
      </c>
      <c r="N1271" s="100">
        <v>50</v>
      </c>
      <c r="O1271" s="100">
        <v>45</v>
      </c>
      <c r="P1271" s="100">
        <v>66</v>
      </c>
      <c r="Q1271" s="100">
        <v>25</v>
      </c>
      <c r="S1271" s="105">
        <v>43944</v>
      </c>
      <c r="T1271" s="106">
        <f t="shared" si="19"/>
        <v>1.79</v>
      </c>
    </row>
    <row r="1272" spans="3:20">
      <c r="C1272" s="105">
        <v>43943</v>
      </c>
      <c r="D1272" s="106">
        <v>23.151</v>
      </c>
      <c r="E1272" s="100">
        <v>20.058</v>
      </c>
      <c r="F1272" s="100">
        <v>15</v>
      </c>
      <c r="G1272" s="100">
        <v>-19</v>
      </c>
      <c r="H1272" s="100">
        <v>1</v>
      </c>
      <c r="I1272" s="100">
        <v>-39</v>
      </c>
      <c r="K1272" s="105">
        <v>43943</v>
      </c>
      <c r="L1272" s="100">
        <v>33.383</v>
      </c>
      <c r="M1272" s="106">
        <v>21.962</v>
      </c>
      <c r="N1272" s="100">
        <v>52</v>
      </c>
      <c r="O1272" s="100">
        <v>45</v>
      </c>
      <c r="P1272" s="100">
        <v>66</v>
      </c>
      <c r="Q1272" s="100">
        <v>25</v>
      </c>
      <c r="S1272" s="105">
        <v>43943</v>
      </c>
      <c r="T1272" s="106">
        <f t="shared" si="19"/>
        <v>1.189</v>
      </c>
    </row>
    <row r="1273" spans="3:20">
      <c r="C1273" s="105">
        <v>43942</v>
      </c>
      <c r="D1273" s="106">
        <v>23.439</v>
      </c>
      <c r="E1273" s="100">
        <v>20.076</v>
      </c>
      <c r="F1273" s="100">
        <v>17</v>
      </c>
      <c r="G1273" s="100">
        <v>-19</v>
      </c>
      <c r="H1273" s="100">
        <v>1</v>
      </c>
      <c r="I1273" s="100">
        <v>-39</v>
      </c>
      <c r="K1273" s="105">
        <v>43942</v>
      </c>
      <c r="L1273" s="100">
        <v>32.207</v>
      </c>
      <c r="M1273" s="106">
        <v>21.809</v>
      </c>
      <c r="N1273" s="100">
        <v>48</v>
      </c>
      <c r="O1273" s="100">
        <v>45</v>
      </c>
      <c r="P1273" s="100">
        <v>66</v>
      </c>
      <c r="Q1273" s="100">
        <v>25</v>
      </c>
      <c r="S1273" s="105">
        <v>43942</v>
      </c>
      <c r="T1273" s="106">
        <f t="shared" si="19"/>
        <v>1.63</v>
      </c>
    </row>
    <row r="1274" spans="3:20">
      <c r="C1274" s="105">
        <v>43941</v>
      </c>
      <c r="D1274" s="106">
        <v>24.184</v>
      </c>
      <c r="E1274" s="100">
        <v>20.677</v>
      </c>
      <c r="F1274" s="100">
        <v>17</v>
      </c>
      <c r="G1274" s="100">
        <v>-19</v>
      </c>
      <c r="H1274" s="100">
        <v>1</v>
      </c>
      <c r="I1274" s="100">
        <v>-39</v>
      </c>
      <c r="K1274" s="105">
        <v>43941</v>
      </c>
      <c r="L1274" s="100">
        <v>32.557</v>
      </c>
      <c r="M1274" s="106">
        <v>22.374</v>
      </c>
      <c r="N1274" s="100">
        <v>46</v>
      </c>
      <c r="O1274" s="100">
        <v>45</v>
      </c>
      <c r="P1274" s="100">
        <v>66</v>
      </c>
      <c r="Q1274" s="100">
        <v>25</v>
      </c>
      <c r="S1274" s="105">
        <v>43941</v>
      </c>
      <c r="T1274" s="106">
        <f t="shared" si="19"/>
        <v>1.81</v>
      </c>
    </row>
    <row r="1275" spans="3:20">
      <c r="C1275" s="105">
        <v>43938</v>
      </c>
      <c r="D1275" s="106">
        <v>24.828</v>
      </c>
      <c r="E1275" s="100">
        <v>20.85</v>
      </c>
      <c r="F1275" s="100">
        <v>19</v>
      </c>
      <c r="G1275" s="100">
        <v>-19</v>
      </c>
      <c r="H1275" s="100">
        <v>1</v>
      </c>
      <c r="I1275" s="100">
        <v>-39</v>
      </c>
      <c r="K1275" s="105">
        <v>43938</v>
      </c>
      <c r="L1275" s="100">
        <v>32.393</v>
      </c>
      <c r="M1275" s="106">
        <v>22.499</v>
      </c>
      <c r="N1275" s="100">
        <v>44</v>
      </c>
      <c r="O1275" s="100">
        <v>45</v>
      </c>
      <c r="P1275" s="100">
        <v>66</v>
      </c>
      <c r="Q1275" s="100">
        <v>25</v>
      </c>
      <c r="S1275" s="105">
        <v>43938</v>
      </c>
      <c r="T1275" s="106">
        <f t="shared" si="19"/>
        <v>2.329</v>
      </c>
    </row>
    <row r="1276" spans="3:20">
      <c r="C1276" s="105">
        <v>43937</v>
      </c>
      <c r="D1276" s="106">
        <v>23.242</v>
      </c>
      <c r="E1276" s="100">
        <v>19.55</v>
      </c>
      <c r="F1276" s="100">
        <v>19</v>
      </c>
      <c r="G1276" s="100">
        <v>-19</v>
      </c>
      <c r="H1276" s="100">
        <v>1</v>
      </c>
      <c r="I1276" s="100">
        <v>-39</v>
      </c>
      <c r="K1276" s="105">
        <v>43937</v>
      </c>
      <c r="L1276" s="100">
        <v>31.365</v>
      </c>
      <c r="M1276" s="106">
        <v>21.238</v>
      </c>
      <c r="N1276" s="100">
        <v>48</v>
      </c>
      <c r="O1276" s="100">
        <v>45</v>
      </c>
      <c r="P1276" s="100">
        <v>66</v>
      </c>
      <c r="Q1276" s="100">
        <v>25</v>
      </c>
      <c r="S1276" s="105">
        <v>43937</v>
      </c>
      <c r="T1276" s="106">
        <f t="shared" si="19"/>
        <v>2.004</v>
      </c>
    </row>
    <row r="1277" spans="3:20">
      <c r="C1277" s="105">
        <v>43936</v>
      </c>
      <c r="D1277" s="106">
        <v>23.55</v>
      </c>
      <c r="E1277" s="100">
        <v>19.955</v>
      </c>
      <c r="F1277" s="100">
        <v>18</v>
      </c>
      <c r="G1277" s="100">
        <v>-19</v>
      </c>
      <c r="H1277" s="100">
        <v>1</v>
      </c>
      <c r="I1277" s="100">
        <v>-39</v>
      </c>
      <c r="K1277" s="105">
        <v>43936</v>
      </c>
      <c r="L1277" s="100">
        <v>30.355</v>
      </c>
      <c r="M1277" s="106">
        <v>21.44</v>
      </c>
      <c r="N1277" s="100">
        <v>42</v>
      </c>
      <c r="O1277" s="100">
        <v>45</v>
      </c>
      <c r="P1277" s="100">
        <v>66</v>
      </c>
      <c r="Q1277" s="100">
        <v>25</v>
      </c>
      <c r="S1277" s="105">
        <v>43936</v>
      </c>
      <c r="T1277" s="106">
        <f t="shared" si="19"/>
        <v>2.11</v>
      </c>
    </row>
    <row r="1278" spans="3:20">
      <c r="C1278" s="105">
        <v>43935</v>
      </c>
      <c r="D1278" s="106">
        <v>25.795</v>
      </c>
      <c r="E1278" s="100">
        <v>21.265</v>
      </c>
      <c r="F1278" s="100">
        <v>21</v>
      </c>
      <c r="G1278" s="100">
        <v>-19</v>
      </c>
      <c r="H1278" s="100">
        <v>1</v>
      </c>
      <c r="I1278" s="100">
        <v>-39</v>
      </c>
      <c r="K1278" s="105">
        <v>43935</v>
      </c>
      <c r="L1278" s="100">
        <v>31.15</v>
      </c>
      <c r="M1278" s="106">
        <v>22.677</v>
      </c>
      <c r="N1278" s="100">
        <v>37</v>
      </c>
      <c r="O1278" s="100">
        <v>45</v>
      </c>
      <c r="P1278" s="100">
        <v>66</v>
      </c>
      <c r="Q1278" s="100">
        <v>25</v>
      </c>
      <c r="S1278" s="105">
        <v>43935</v>
      </c>
      <c r="T1278" s="106">
        <f t="shared" si="19"/>
        <v>3.118</v>
      </c>
    </row>
    <row r="1279" spans="3:20">
      <c r="C1279" s="105">
        <v>43930</v>
      </c>
      <c r="D1279" s="106">
        <v>26.324</v>
      </c>
      <c r="E1279" s="100">
        <v>21</v>
      </c>
      <c r="F1279" s="100">
        <v>25</v>
      </c>
      <c r="G1279" s="100">
        <v>-19</v>
      </c>
      <c r="H1279" s="100">
        <v>1</v>
      </c>
      <c r="I1279" s="100">
        <v>-39</v>
      </c>
      <c r="K1279" s="105">
        <v>43930</v>
      </c>
      <c r="L1279" s="100">
        <v>31.173</v>
      </c>
      <c r="M1279" s="106">
        <v>22.454</v>
      </c>
      <c r="N1279" s="100">
        <v>39</v>
      </c>
      <c r="O1279" s="100">
        <v>45</v>
      </c>
      <c r="P1279" s="100">
        <v>66</v>
      </c>
      <c r="Q1279" s="100">
        <v>25</v>
      </c>
      <c r="S1279" s="105">
        <v>43930</v>
      </c>
      <c r="T1279" s="106">
        <f t="shared" si="19"/>
        <v>3.87</v>
      </c>
    </row>
    <row r="1280" spans="3:20">
      <c r="C1280" s="105">
        <v>43929</v>
      </c>
      <c r="D1280" s="106">
        <v>24.547</v>
      </c>
      <c r="E1280" s="100">
        <v>19.864</v>
      </c>
      <c r="F1280" s="100">
        <v>24</v>
      </c>
      <c r="G1280" s="100">
        <v>-19</v>
      </c>
      <c r="H1280" s="100">
        <v>1</v>
      </c>
      <c r="I1280" s="100">
        <v>-39</v>
      </c>
      <c r="K1280" s="105">
        <v>43929</v>
      </c>
      <c r="L1280" s="100">
        <v>30.608</v>
      </c>
      <c r="M1280" s="106">
        <v>21.398</v>
      </c>
      <c r="N1280" s="100">
        <v>43</v>
      </c>
      <c r="O1280" s="100">
        <v>45</v>
      </c>
      <c r="P1280" s="100">
        <v>66</v>
      </c>
      <c r="Q1280" s="100">
        <v>25</v>
      </c>
      <c r="S1280" s="105">
        <v>43929</v>
      </c>
      <c r="T1280" s="106">
        <f t="shared" si="19"/>
        <v>3.149</v>
      </c>
    </row>
    <row r="1281" spans="3:20">
      <c r="C1281" s="105">
        <v>43928</v>
      </c>
      <c r="D1281" s="106">
        <v>24.738</v>
      </c>
      <c r="E1281" s="100">
        <v>19.364</v>
      </c>
      <c r="F1281" s="100">
        <v>28</v>
      </c>
      <c r="G1281" s="100">
        <v>-19</v>
      </c>
      <c r="H1281" s="100">
        <v>1</v>
      </c>
      <c r="I1281" s="100">
        <v>-39</v>
      </c>
      <c r="K1281" s="105">
        <v>43928</v>
      </c>
      <c r="L1281" s="100">
        <v>30.861</v>
      </c>
      <c r="M1281" s="106">
        <v>21.007</v>
      </c>
      <c r="N1281" s="100">
        <v>47</v>
      </c>
      <c r="O1281" s="100">
        <v>45</v>
      </c>
      <c r="P1281" s="100">
        <v>66</v>
      </c>
      <c r="Q1281" s="100">
        <v>25</v>
      </c>
      <c r="S1281" s="105">
        <v>43928</v>
      </c>
      <c r="T1281" s="106">
        <f t="shared" si="19"/>
        <v>3.731</v>
      </c>
    </row>
    <row r="1282" spans="3:20">
      <c r="C1282" s="105">
        <v>43927</v>
      </c>
      <c r="D1282" s="106">
        <v>22.515</v>
      </c>
      <c r="E1282" s="100">
        <v>17.775</v>
      </c>
      <c r="F1282" s="100">
        <v>27</v>
      </c>
      <c r="G1282" s="100">
        <v>-19</v>
      </c>
      <c r="H1282" s="100">
        <v>1</v>
      </c>
      <c r="I1282" s="100">
        <v>-39</v>
      </c>
      <c r="K1282" s="105">
        <v>43927</v>
      </c>
      <c r="L1282" s="100">
        <v>30.306</v>
      </c>
      <c r="M1282" s="106">
        <v>19.565</v>
      </c>
      <c r="N1282" s="100">
        <v>55</v>
      </c>
      <c r="O1282" s="100">
        <v>45</v>
      </c>
      <c r="P1282" s="100">
        <v>66</v>
      </c>
      <c r="Q1282" s="100">
        <v>25</v>
      </c>
      <c r="S1282" s="105">
        <v>43927</v>
      </c>
      <c r="T1282" s="106">
        <f t="shared" si="19"/>
        <v>2.95</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9:R39"/>
  <sheetViews>
    <sheetView showGridLines="0" zoomScale="25" zoomScaleNormal="25" workbookViewId="0">
      <selection activeCell="AF39" sqref="AF39"/>
    </sheetView>
  </sheetViews>
  <sheetFormatPr defaultColWidth="9.25384615384615" defaultRowHeight="18.5"/>
  <cols>
    <col min="1" max="3" width="9.25384615384615" style="2"/>
    <col min="4" max="4" width="36.2538461538462" style="2" customWidth="1"/>
    <col min="5" max="14" width="9.25384615384615" style="2" customWidth="1"/>
    <col min="15" max="15" width="9.87692307692308" style="2" customWidth="1"/>
    <col min="16" max="18" width="9.25384615384615" style="2" customWidth="1"/>
    <col min="19" max="16384" width="9.25384615384615" style="2"/>
  </cols>
  <sheetData>
    <row r="9" ht="23.5" spans="5:18">
      <c r="E9" s="94" t="s">
        <v>354</v>
      </c>
      <c r="F9" s="94" t="s">
        <v>313</v>
      </c>
      <c r="G9" s="94" t="s">
        <v>314</v>
      </c>
      <c r="H9" s="94" t="s">
        <v>315</v>
      </c>
      <c r="I9" s="94" t="s">
        <v>6</v>
      </c>
      <c r="J9" s="94" t="s">
        <v>7</v>
      </c>
      <c r="K9" s="94" t="s">
        <v>8</v>
      </c>
      <c r="L9" s="94" t="s">
        <v>9</v>
      </c>
      <c r="M9" s="94" t="s">
        <v>10</v>
      </c>
      <c r="N9" s="94" t="s">
        <v>11</v>
      </c>
      <c r="O9" s="94" t="s">
        <v>12</v>
      </c>
      <c r="P9" s="94" t="s">
        <v>13</v>
      </c>
      <c r="Q9" s="94" t="s">
        <v>14</v>
      </c>
      <c r="R9" s="94" t="s">
        <v>15</v>
      </c>
    </row>
    <row r="12" spans="4:18">
      <c r="D12" s="8" t="s">
        <v>16</v>
      </c>
      <c r="E12" s="95">
        <f>CASES!D25</f>
        <v>1821.7</v>
      </c>
      <c r="F12" s="95">
        <f>CASES!E25</f>
        <v>2378.7</v>
      </c>
      <c r="G12" s="95">
        <f>CASES!F25</f>
        <v>3161.4</v>
      </c>
      <c r="H12" s="95">
        <f>CASES!G25</f>
        <v>4717.8</v>
      </c>
      <c r="I12" s="95">
        <f>CASES!H25</f>
        <v>6110.8</v>
      </c>
      <c r="J12" s="95">
        <f>CASES!I25</f>
        <v>6167.3</v>
      </c>
      <c r="K12" s="95">
        <f>CASES!J25</f>
        <v>8563</v>
      </c>
      <c r="L12" s="95">
        <f>CASES!K25</f>
        <v>10125</v>
      </c>
      <c r="M12" s="95">
        <f>CASES!L25</f>
        <v>10542</v>
      </c>
      <c r="N12" s="95">
        <f>CASES!M25</f>
        <v>11830.4522</v>
      </c>
      <c r="O12" s="95">
        <f>CASES!N25</f>
        <v>12721.0452755</v>
      </c>
      <c r="P12" s="95">
        <f>CASES!O25</f>
        <v>13282.548695914</v>
      </c>
      <c r="Q12" s="95">
        <f>CASES!P25</f>
        <v>13884.3171840358</v>
      </c>
      <c r="R12" s="95">
        <f>CASES!Q25</f>
        <v>14528.624064584</v>
      </c>
    </row>
    <row r="13" spans="4:18">
      <c r="D13" s="2" t="s">
        <v>18</v>
      </c>
      <c r="E13" s="16">
        <v>0.197</v>
      </c>
      <c r="F13" s="16">
        <f>F12/E12-1</f>
        <v>0.305758357578086</v>
      </c>
      <c r="G13" s="16">
        <f t="shared" ref="G13:R13" si="0">G12/F12-1</f>
        <v>0.329045276831883</v>
      </c>
      <c r="H13" s="16">
        <f t="shared" si="0"/>
        <v>0.492313531979503</v>
      </c>
      <c r="I13" s="16">
        <f t="shared" si="0"/>
        <v>0.295264742040782</v>
      </c>
      <c r="J13" s="16">
        <f t="shared" si="0"/>
        <v>0.00924592524710355</v>
      </c>
      <c r="K13" s="16">
        <f t="shared" si="0"/>
        <v>0.388451996821948</v>
      </c>
      <c r="L13" s="16">
        <f t="shared" si="0"/>
        <v>0.182412705827397</v>
      </c>
      <c r="M13" s="16">
        <f t="shared" si="0"/>
        <v>0.0411851851851854</v>
      </c>
      <c r="N13" s="16">
        <f t="shared" si="0"/>
        <v>0.122220849933599</v>
      </c>
      <c r="O13" s="16">
        <f t="shared" si="0"/>
        <v>0.0752797154702167</v>
      </c>
      <c r="P13" s="16">
        <f t="shared" si="0"/>
        <v>0.0441397234467338</v>
      </c>
      <c r="Q13" s="16">
        <f t="shared" si="0"/>
        <v>0.0453051972101572</v>
      </c>
      <c r="R13" s="16">
        <f t="shared" si="0"/>
        <v>0.0464053703187477</v>
      </c>
    </row>
    <row r="14" spans="4:18">
      <c r="D14" s="8"/>
      <c r="E14" s="95"/>
      <c r="F14" s="95"/>
      <c r="G14" s="95"/>
      <c r="H14" s="95"/>
      <c r="I14" s="95"/>
      <c r="J14" s="95"/>
      <c r="K14" s="95"/>
      <c r="L14" s="95"/>
      <c r="M14" s="95"/>
      <c r="N14" s="95"/>
      <c r="O14" s="95"/>
      <c r="P14" s="95"/>
      <c r="Q14" s="95"/>
      <c r="R14" s="95"/>
    </row>
    <row r="15" spans="4:18">
      <c r="D15" s="8" t="s">
        <v>481</v>
      </c>
      <c r="E15" s="95">
        <f>CASES!D36</f>
        <v>884.269</v>
      </c>
      <c r="F15" s="95">
        <f>CASES!E36</f>
        <v>1163.6</v>
      </c>
      <c r="G15" s="95">
        <f>CASES!F36</f>
        <v>1531.6</v>
      </c>
      <c r="H15" s="95">
        <f>CASES!G36</f>
        <v>2243.3</v>
      </c>
      <c r="I15" s="95">
        <f>CASES!H36</f>
        <v>2874.8</v>
      </c>
      <c r="J15" s="95">
        <f>CASES!I36</f>
        <v>2961.6</v>
      </c>
      <c r="K15" s="95">
        <f>CASES!J36</f>
        <v>4208</v>
      </c>
      <c r="L15" s="95">
        <f>CASES!K36</f>
        <v>4877.6</v>
      </c>
      <c r="M15" s="95">
        <f>CASES!L36</f>
        <v>5048</v>
      </c>
      <c r="N15" s="95">
        <f>CASES!M36</f>
        <v>5560.312534</v>
      </c>
      <c r="O15" s="95">
        <f>CASES!N36</f>
        <v>5978.891279485</v>
      </c>
      <c r="P15" s="95">
        <f>CASES!O36</f>
        <v>6242.79788707956</v>
      </c>
      <c r="Q15" s="95">
        <f>CASES!P36</f>
        <v>6525.62907649685</v>
      </c>
      <c r="R15" s="95">
        <f>CASES!Q36</f>
        <v>6828.45331035447</v>
      </c>
    </row>
    <row r="16" spans="4:18">
      <c r="D16" s="2" t="s">
        <v>40</v>
      </c>
      <c r="E16" s="16">
        <f>E15/E12</f>
        <v>0.485408684196081</v>
      </c>
      <c r="F16" s="16">
        <f t="shared" ref="F16:R16" si="1">F15/F12</f>
        <v>0.489174759322319</v>
      </c>
      <c r="G16" s="16">
        <f t="shared" si="1"/>
        <v>0.484468906180806</v>
      </c>
      <c r="H16" s="16">
        <f t="shared" si="1"/>
        <v>0.475497053711476</v>
      </c>
      <c r="I16" s="16">
        <f t="shared" si="1"/>
        <v>0.470445768148197</v>
      </c>
      <c r="J16" s="16">
        <f t="shared" si="1"/>
        <v>0.480210140580157</v>
      </c>
      <c r="K16" s="16">
        <f t="shared" si="1"/>
        <v>0.491416559616957</v>
      </c>
      <c r="L16" s="16">
        <f t="shared" si="1"/>
        <v>0.481738271604938</v>
      </c>
      <c r="M16" s="16">
        <f t="shared" si="1"/>
        <v>0.478846518687156</v>
      </c>
      <c r="N16" s="16">
        <f t="shared" si="1"/>
        <v>0.47</v>
      </c>
      <c r="O16" s="16">
        <f t="shared" si="1"/>
        <v>0.47</v>
      </c>
      <c r="P16" s="16">
        <f t="shared" si="1"/>
        <v>0.47</v>
      </c>
      <c r="Q16" s="16">
        <f t="shared" si="1"/>
        <v>0.47</v>
      </c>
      <c r="R16" s="16">
        <f t="shared" si="1"/>
        <v>0.47</v>
      </c>
    </row>
    <row r="17" spans="4:18">
      <c r="D17" s="8"/>
      <c r="E17" s="95"/>
      <c r="F17" s="95"/>
      <c r="G17" s="95"/>
      <c r="H17" s="95"/>
      <c r="I17" s="95"/>
      <c r="J17" s="95"/>
      <c r="K17" s="95"/>
      <c r="L17" s="95"/>
      <c r="M17" s="95"/>
      <c r="N17" s="95"/>
      <c r="O17" s="95"/>
      <c r="P17" s="95"/>
      <c r="Q17" s="95"/>
      <c r="R17" s="95"/>
    </row>
    <row r="18" spans="4:18">
      <c r="D18" s="8" t="s">
        <v>132</v>
      </c>
      <c r="E18" s="96">
        <f>CASES!D50</f>
        <v>133.454</v>
      </c>
      <c r="F18" s="96">
        <f>CASES!E50</f>
        <v>239.8</v>
      </c>
      <c r="G18" s="96">
        <f>CASES!F50</f>
        <v>295.9</v>
      </c>
      <c r="H18" s="96">
        <f>CASES!G50</f>
        <v>346.2</v>
      </c>
      <c r="I18" s="96">
        <f>CASES!H50</f>
        <v>426.6</v>
      </c>
      <c r="J18" s="96">
        <f>CASES!I50</f>
        <v>385</v>
      </c>
      <c r="K18" s="96">
        <f>CASES!J50</f>
        <v>721.2</v>
      </c>
      <c r="L18" s="96">
        <f>CASES!K50</f>
        <v>806</v>
      </c>
      <c r="M18" s="96">
        <f>CASES!L50</f>
        <v>927.200000000002</v>
      </c>
      <c r="N18" s="96">
        <f>CASES!M50</f>
        <v>810.889393</v>
      </c>
      <c r="O18" s="96">
        <f>CASES!N50</f>
        <v>872.9689429075</v>
      </c>
      <c r="P18" s="96">
        <f>CASES!O50</f>
        <v>914.076765234406</v>
      </c>
      <c r="Q18" s="96">
        <f>CASES!P50</f>
        <v>958.262826962329</v>
      </c>
      <c r="R18" s="96">
        <f>CASES!Q50</f>
        <v>1005.72099519796</v>
      </c>
    </row>
    <row r="19" spans="4:18">
      <c r="D19" s="2" t="s">
        <v>40</v>
      </c>
      <c r="E19" s="16">
        <f>E18/E12</f>
        <v>0.0732579458747324</v>
      </c>
      <c r="F19" s="16">
        <f t="shared" ref="F19:R19" si="2">F18/F12</f>
        <v>0.100811367553706</v>
      </c>
      <c r="G19" s="16">
        <f t="shared" si="2"/>
        <v>0.093597773138483</v>
      </c>
      <c r="H19" s="16">
        <f t="shared" si="2"/>
        <v>0.0733816609436602</v>
      </c>
      <c r="I19" s="16">
        <f t="shared" si="2"/>
        <v>0.0698108267329973</v>
      </c>
      <c r="J19" s="16">
        <f t="shared" si="2"/>
        <v>0.0624260211113454</v>
      </c>
      <c r="K19" s="16">
        <f t="shared" si="2"/>
        <v>0.0842228191054537</v>
      </c>
      <c r="L19" s="16">
        <f t="shared" si="2"/>
        <v>0.0796049382716049</v>
      </c>
      <c r="M19" s="16">
        <f t="shared" si="2"/>
        <v>0.0879529501043447</v>
      </c>
      <c r="N19" s="16">
        <f t="shared" si="2"/>
        <v>0.0685425526675979</v>
      </c>
      <c r="O19" s="16">
        <f t="shared" si="2"/>
        <v>0.0686239946483634</v>
      </c>
      <c r="P19" s="16">
        <f t="shared" si="2"/>
        <v>0.0688178742017787</v>
      </c>
      <c r="Q19" s="16">
        <f t="shared" si="2"/>
        <v>0.0690176415779479</v>
      </c>
      <c r="R19" s="16">
        <f t="shared" si="2"/>
        <v>0.0692234165277616</v>
      </c>
    </row>
    <row r="21" spans="4:4">
      <c r="D21" s="8"/>
    </row>
    <row r="22" spans="4:18">
      <c r="D22" s="8" t="s">
        <v>254</v>
      </c>
      <c r="E22" s="16">
        <f>MOD!F332</f>
        <v>0.279881796114534</v>
      </c>
      <c r="F22" s="16">
        <f>MOD!G332</f>
        <v>0.441033568904593</v>
      </c>
      <c r="G22" s="16">
        <f>MOD!H332</f>
        <v>0.324873789057171</v>
      </c>
      <c r="H22" s="16">
        <f>MOD!I332</f>
        <v>0.291973207422861</v>
      </c>
      <c r="I22" s="16">
        <f>MOD!J332</f>
        <v>0.122148748049632</v>
      </c>
      <c r="J22" s="16">
        <f>MOD!K332</f>
        <v>0.0913428766189504</v>
      </c>
      <c r="K22" s="16">
        <f>MOD!O329</f>
        <v>0.0924003563543402</v>
      </c>
      <c r="L22" s="16">
        <f>MOD!S329</f>
        <v>0.109704201622288</v>
      </c>
      <c r="M22" s="16">
        <f>MOD!W329</f>
        <v>0.118782749557829</v>
      </c>
      <c r="N22" s="16">
        <v>0.148</v>
      </c>
      <c r="O22" s="99"/>
      <c r="P22" s="99"/>
      <c r="Q22" s="99"/>
      <c r="R22" s="99"/>
    </row>
    <row r="23" spans="4:4">
      <c r="D23" s="8"/>
    </row>
    <row r="24" spans="4:18">
      <c r="D24" s="8" t="s">
        <v>167</v>
      </c>
      <c r="E24" s="96">
        <f>MOD!F154</f>
        <v>418.010481586402</v>
      </c>
      <c r="F24" s="96">
        <f>MOD!G154</f>
        <v>283.820117806978</v>
      </c>
      <c r="G24" s="96">
        <f>MOD!H154</f>
        <v>313.82553666708</v>
      </c>
      <c r="H24" s="96">
        <f>MOD!I154</f>
        <v>349.101982734086</v>
      </c>
      <c r="I24" s="96">
        <f>MOD!J154</f>
        <v>418.547945205479</v>
      </c>
      <c r="J24" s="96">
        <f>MOD!K154</f>
        <v>308.554463266918</v>
      </c>
      <c r="K24" s="96">
        <f>MOD!O154</f>
        <v>426.92468745293</v>
      </c>
      <c r="L24" s="96">
        <f>MOD!S154</f>
        <v>537.440235380655</v>
      </c>
      <c r="M24" s="96">
        <f>MOD!W154</f>
        <v>577.590608138317</v>
      </c>
      <c r="N24" s="96">
        <f>MOD!AA154</f>
        <v>623.797856789383</v>
      </c>
      <c r="O24" s="96">
        <f>MOD!AB154</f>
        <v>654.987749628852</v>
      </c>
      <c r="P24" s="96">
        <f>MOD!AC154</f>
        <v>674.637382117718</v>
      </c>
      <c r="Q24" s="96">
        <f>MOD!AD154</f>
        <v>694.876503581249</v>
      </c>
      <c r="R24" s="96">
        <f>MOD!AE154</f>
        <v>715.722798688687</v>
      </c>
    </row>
    <row r="25" spans="4:18">
      <c r="D25" s="8"/>
      <c r="E25" s="96"/>
      <c r="F25" s="96"/>
      <c r="G25" s="96"/>
      <c r="H25" s="96"/>
      <c r="I25" s="96"/>
      <c r="J25" s="96"/>
      <c r="K25" s="96"/>
      <c r="L25" s="96"/>
      <c r="M25" s="96"/>
      <c r="N25" s="96"/>
      <c r="O25" s="96"/>
      <c r="P25" s="96"/>
      <c r="Q25" s="96"/>
      <c r="R25" s="96"/>
    </row>
    <row r="26" spans="4:18">
      <c r="D26" s="8" t="s">
        <v>168</v>
      </c>
      <c r="E26" s="96">
        <f>MOD!F158</f>
        <v>36.4601307203588</v>
      </c>
      <c r="F26" s="96">
        <f>MOD!G158</f>
        <v>29.3774309959548</v>
      </c>
      <c r="G26" s="96">
        <f>MOD!H158</f>
        <v>30.6539272862638</v>
      </c>
      <c r="H26" s="96">
        <f>MOD!I158</f>
        <v>26.7498339815957</v>
      </c>
      <c r="I26" s="96">
        <f>MOD!J158</f>
        <v>35.4041095890411</v>
      </c>
      <c r="J26" s="96">
        <f>MOD!K158</f>
        <v>19.2618274379005</v>
      </c>
      <c r="K26" s="96">
        <f>MOD!O158</f>
        <v>35.9568007230005</v>
      </c>
      <c r="L26" s="96">
        <f>MOD!S158</f>
        <v>56.2812722542329</v>
      </c>
      <c r="M26" s="96">
        <f>MOD!W158</f>
        <v>54.1015535870417</v>
      </c>
      <c r="N26" s="96">
        <f>MOD!AA158</f>
        <v>59.5117089457459</v>
      </c>
      <c r="O26" s="96">
        <f>MOD!AB158</f>
        <v>64.2726456614055</v>
      </c>
      <c r="P26" s="96">
        <f>MOD!AC158</f>
        <v>66.2008250312477</v>
      </c>
      <c r="Q26" s="96">
        <f>MOD!AD158</f>
        <v>68.1868497821851</v>
      </c>
      <c r="R26" s="96">
        <f>MOD!AE158</f>
        <v>70.2324552756507</v>
      </c>
    </row>
    <row r="27" spans="4:18">
      <c r="D27" s="8"/>
      <c r="E27" s="96"/>
      <c r="F27" s="96"/>
      <c r="G27" s="96"/>
      <c r="H27" s="96"/>
      <c r="I27" s="96"/>
      <c r="J27" s="96"/>
      <c r="K27" s="96"/>
      <c r="L27" s="96"/>
      <c r="M27" s="96"/>
      <c r="N27" s="96"/>
      <c r="O27" s="96"/>
      <c r="P27" s="96"/>
      <c r="Q27" s="96"/>
      <c r="R27" s="96"/>
    </row>
    <row r="28" spans="4:18">
      <c r="D28" s="8" t="s">
        <v>56</v>
      </c>
      <c r="E28" s="96">
        <f>'REVERSE DCF'!E33</f>
        <v>83.432</v>
      </c>
      <c r="F28" s="96">
        <f>'REVERSE DCF'!F33</f>
        <v>15.0999999999999</v>
      </c>
      <c r="G28" s="96">
        <f>'REVERSE DCF'!G33</f>
        <v>52.2000000000002</v>
      </c>
      <c r="H28" s="96">
        <f>'REVERSE DCF'!H33</f>
        <v>-275.1</v>
      </c>
      <c r="I28" s="96">
        <f>'REVERSE DCF'!I33</f>
        <v>393.5</v>
      </c>
      <c r="J28" s="96">
        <f>'REVERSE DCF'!J33</f>
        <v>707.2</v>
      </c>
      <c r="K28" s="96">
        <f>'REVERSE DCF'!K33</f>
        <v>480.7</v>
      </c>
      <c r="L28" s="96">
        <f>'REVERSE DCF'!L33</f>
        <v>255.2</v>
      </c>
      <c r="M28" s="96">
        <f>'REVERSE DCF'!M33</f>
        <v>579.3</v>
      </c>
      <c r="N28" s="96">
        <f>'REVERSE DCF'!N33</f>
        <v>803.873658067061</v>
      </c>
      <c r="O28" s="96">
        <f>'REVERSE DCF'!O33</f>
        <v>909.339919086953</v>
      </c>
      <c r="P28" s="96">
        <f>'REVERSE DCF'!P33</f>
        <v>1100.63877889951</v>
      </c>
      <c r="Q28" s="96">
        <f>'REVERSE DCF'!Q33</f>
        <v>1128.6296943331</v>
      </c>
      <c r="R28" s="96">
        <f>'REVERSE DCF'!R33</f>
        <v>1159.08770278772</v>
      </c>
    </row>
    <row r="29" spans="4:18">
      <c r="D29" s="8" t="s">
        <v>40</v>
      </c>
      <c r="E29" s="97">
        <f>E28/E12</f>
        <v>0.045798978975682</v>
      </c>
      <c r="F29" s="97">
        <f t="shared" ref="F29:R29" si="3">F28/F12</f>
        <v>0.00634800521293139</v>
      </c>
      <c r="G29" s="97">
        <f t="shared" si="3"/>
        <v>0.0165116720440312</v>
      </c>
      <c r="H29" s="97">
        <f t="shared" si="3"/>
        <v>-0.0583110771969986</v>
      </c>
      <c r="I29" s="97">
        <f t="shared" si="3"/>
        <v>0.0643941873404465</v>
      </c>
      <c r="J29" s="97">
        <f t="shared" si="3"/>
        <v>0.114669304233619</v>
      </c>
      <c r="K29" s="97">
        <f t="shared" si="3"/>
        <v>0.0561368679201214</v>
      </c>
      <c r="L29" s="97">
        <f t="shared" si="3"/>
        <v>0.025204938271605</v>
      </c>
      <c r="M29" s="97">
        <f t="shared" si="3"/>
        <v>0.0549516220830962</v>
      </c>
      <c r="N29" s="97">
        <f t="shared" si="3"/>
        <v>0.0679495292721829</v>
      </c>
      <c r="O29" s="97">
        <f t="shared" si="3"/>
        <v>0.0714831131713908</v>
      </c>
      <c r="P29" s="97">
        <f t="shared" si="3"/>
        <v>0.0828635229651442</v>
      </c>
      <c r="Q29" s="97">
        <f t="shared" si="3"/>
        <v>0.0812880950048301</v>
      </c>
      <c r="R29" s="97">
        <f t="shared" si="3"/>
        <v>0.0797795921785323</v>
      </c>
    </row>
    <row r="30" spans="4:18">
      <c r="D30" s="8"/>
      <c r="E30" s="96"/>
      <c r="F30" s="96"/>
      <c r="G30" s="96"/>
      <c r="H30" s="96"/>
      <c r="I30" s="96"/>
      <c r="J30" s="96"/>
      <c r="K30" s="96"/>
      <c r="L30" s="96"/>
      <c r="M30" s="96"/>
      <c r="N30" s="96"/>
      <c r="O30" s="96"/>
      <c r="P30" s="96"/>
      <c r="Q30" s="96"/>
      <c r="R30" s="96"/>
    </row>
    <row r="31" spans="4:18">
      <c r="D31" s="8" t="s">
        <v>293</v>
      </c>
      <c r="E31" s="96">
        <f>MOD!F376</f>
        <v>226</v>
      </c>
      <c r="F31" s="96">
        <f>MOD!G376</f>
        <v>279</v>
      </c>
      <c r="G31" s="96">
        <f>MOD!H376</f>
        <v>339</v>
      </c>
      <c r="H31" s="96">
        <f>MOD!I376</f>
        <v>378</v>
      </c>
      <c r="I31" s="96">
        <f>MOD!J376</f>
        <v>854</v>
      </c>
      <c r="J31" s="96">
        <f>MOD!K376</f>
        <v>1061</v>
      </c>
      <c r="K31" s="96">
        <f>MOD!O376</f>
        <v>1267</v>
      </c>
      <c r="L31" s="96">
        <f>MOD!S376</f>
        <v>1081.5</v>
      </c>
      <c r="M31" s="96">
        <f>MOD!W376</f>
        <v>1140.8</v>
      </c>
      <c r="N31" s="96">
        <f>MOD!AA376</f>
        <v>1380</v>
      </c>
      <c r="O31" s="96">
        <f>MOD!AB376</f>
        <v>1243.1269632</v>
      </c>
      <c r="P31" s="96">
        <f>MOD!AC376</f>
        <v>1335.647952928</v>
      </c>
      <c r="Q31" s="96">
        <f>MOD!AD376</f>
        <v>1392.52379384015</v>
      </c>
      <c r="R31" s="96">
        <f>MOD!AE376</f>
        <v>1439.86129649154</v>
      </c>
    </row>
    <row r="32" spans="4:18">
      <c r="D32" s="8" t="s">
        <v>40</v>
      </c>
      <c r="E32" s="97">
        <f>E31/E12</f>
        <v>0.124059944008344</v>
      </c>
      <c r="F32" s="97">
        <f t="shared" ref="F32:R32" si="4">F31/F12</f>
        <v>0.117290957245554</v>
      </c>
      <c r="G32" s="97">
        <f t="shared" si="4"/>
        <v>0.107230973619283</v>
      </c>
      <c r="H32" s="97">
        <f t="shared" si="4"/>
        <v>0.0801220908050362</v>
      </c>
      <c r="I32" s="97">
        <f t="shared" si="4"/>
        <v>0.139752569221706</v>
      </c>
      <c r="J32" s="97">
        <f t="shared" si="4"/>
        <v>0.172036385452305</v>
      </c>
      <c r="K32" s="97">
        <f t="shared" si="4"/>
        <v>0.147962162793414</v>
      </c>
      <c r="L32" s="97">
        <f t="shared" si="4"/>
        <v>0.106814814814815</v>
      </c>
      <c r="M32" s="97">
        <f t="shared" si="4"/>
        <v>0.108214760007589</v>
      </c>
      <c r="N32" s="97">
        <f t="shared" si="4"/>
        <v>0.116648119333934</v>
      </c>
      <c r="O32" s="97">
        <f t="shared" si="4"/>
        <v>0.0977220767851673</v>
      </c>
      <c r="P32" s="97">
        <f t="shared" si="4"/>
        <v>0.100556601259733</v>
      </c>
      <c r="Q32" s="97">
        <f t="shared" si="4"/>
        <v>0.1002947264444</v>
      </c>
      <c r="R32" s="97">
        <f t="shared" si="4"/>
        <v>0.0991051382492199</v>
      </c>
    </row>
    <row r="33" spans="4:18">
      <c r="D33" s="8"/>
      <c r="E33" s="96"/>
      <c r="F33" s="96"/>
      <c r="G33" s="96"/>
      <c r="H33" s="96"/>
      <c r="I33" s="96"/>
      <c r="J33" s="96"/>
      <c r="K33" s="96"/>
      <c r="L33" s="96"/>
      <c r="M33" s="96"/>
      <c r="N33" s="96"/>
      <c r="O33" s="96"/>
      <c r="P33" s="96"/>
      <c r="Q33" s="96"/>
      <c r="R33" s="96"/>
    </row>
    <row r="34" spans="4:18">
      <c r="D34" s="8"/>
      <c r="E34" s="96"/>
      <c r="F34" s="96"/>
      <c r="G34" s="96"/>
      <c r="H34" s="96"/>
      <c r="I34" s="96"/>
      <c r="J34" s="96"/>
      <c r="K34" s="96"/>
      <c r="L34" s="96"/>
      <c r="M34" s="96"/>
      <c r="N34" s="96"/>
      <c r="O34" s="96"/>
      <c r="P34" s="96"/>
      <c r="Q34" s="96"/>
      <c r="R34" s="96"/>
    </row>
    <row r="35" spans="4:18">
      <c r="D35" s="8" t="s">
        <v>65</v>
      </c>
      <c r="E35" s="98">
        <f>CASES!D75</f>
        <v>0.501597772366244</v>
      </c>
      <c r="F35" s="98">
        <f>CASES!E75</f>
        <v>0.183820288244186</v>
      </c>
      <c r="G35" s="98">
        <f>CASES!F75</f>
        <v>0.238277947701659</v>
      </c>
      <c r="H35" s="98">
        <f>CASES!G75</f>
        <v>0.269000287659742</v>
      </c>
      <c r="I35" s="98">
        <f>CASES!H75</f>
        <v>0.252868490424227</v>
      </c>
      <c r="J35" s="98">
        <f>CASES!I75</f>
        <v>0.0460937849672118</v>
      </c>
      <c r="K35" s="98">
        <f>CASES!J75</f>
        <v>0.0716731816060417</v>
      </c>
      <c r="L35" s="98">
        <f>CASES!K75</f>
        <v>0.0365028743812353</v>
      </c>
      <c r="M35" s="98">
        <f>CASES!L75</f>
        <v>0.103952515717876</v>
      </c>
      <c r="N35" s="98">
        <f>CASES!M75</f>
        <v>0.0900151916766737</v>
      </c>
      <c r="O35" s="98">
        <f>CASES!N75</f>
        <v>0.0980569068624533</v>
      </c>
      <c r="P35" s="98">
        <f>CASES!O75</f>
        <v>0.103381968006633</v>
      </c>
      <c r="Q35" s="98">
        <f>CASES!P75</f>
        <v>0.10910578082626</v>
      </c>
      <c r="R35" s="98">
        <f>CASES!Q75</f>
        <v>0.115253458648642</v>
      </c>
    </row>
    <row r="36" spans="4:18">
      <c r="D36" s="8"/>
      <c r="E36" s="96"/>
      <c r="F36" s="96"/>
      <c r="G36" s="96"/>
      <c r="H36" s="96"/>
      <c r="I36" s="96"/>
      <c r="J36" s="96"/>
      <c r="K36" s="96"/>
      <c r="L36" s="96"/>
      <c r="M36" s="96"/>
      <c r="N36" s="96"/>
      <c r="O36" s="96"/>
      <c r="P36" s="96"/>
      <c r="Q36" s="96"/>
      <c r="R36" s="96"/>
    </row>
    <row r="37" spans="4:18">
      <c r="D37" s="8"/>
      <c r="E37" s="96"/>
      <c r="F37" s="96"/>
      <c r="G37" s="96"/>
      <c r="H37" s="96"/>
      <c r="I37" s="96"/>
      <c r="J37" s="96"/>
      <c r="K37" s="96"/>
      <c r="L37" s="96"/>
      <c r="M37" s="96"/>
      <c r="N37" s="96"/>
      <c r="O37" s="96"/>
      <c r="P37" s="96"/>
      <c r="Q37" s="96"/>
      <c r="R37" s="96"/>
    </row>
    <row r="38" spans="4:18">
      <c r="D38" s="8"/>
      <c r="E38" s="96"/>
      <c r="F38" s="96"/>
      <c r="G38" s="96"/>
      <c r="H38" s="96"/>
      <c r="I38" s="96"/>
      <c r="J38" s="96"/>
      <c r="K38" s="96"/>
      <c r="L38" s="96"/>
      <c r="M38" s="96"/>
      <c r="N38" s="96"/>
      <c r="O38" s="96"/>
      <c r="P38" s="96"/>
      <c r="Q38" s="96"/>
      <c r="R38" s="96"/>
    </row>
    <row r="39" spans="4:4">
      <c r="D39" s="8"/>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282"/>
  <sheetViews>
    <sheetView showGridLines="0" zoomScale="85" zoomScaleNormal="85" workbookViewId="0">
      <pane xSplit="7590" ySplit="945" topLeftCell="G5" activePane="bottomRight"/>
      <selection/>
      <selection pane="topRight"/>
      <selection pane="bottomLeft"/>
      <selection pane="bottomRight" activeCell="G5" sqref="G5"/>
    </sheetView>
  </sheetViews>
  <sheetFormatPr defaultColWidth="11.1230769230769" defaultRowHeight="18.5"/>
  <cols>
    <col min="1" max="1" width="59.1230769230769" style="2" customWidth="1"/>
    <col min="2" max="2" width="13.3769230769231" style="2" customWidth="1"/>
    <col min="3" max="4" width="11.1230769230769" style="2" customWidth="1"/>
    <col min="5" max="5" width="13.2538461538462" style="2" customWidth="1"/>
    <col min="6" max="9" width="11.1230769230769" style="2" customWidth="1"/>
    <col min="10" max="10" width="11.2538461538462" style="3" customWidth="1"/>
    <col min="11" max="12" width="11.1230769230769" style="3" customWidth="1"/>
    <col min="13" max="13" width="8.87692307692308" style="3" customWidth="1"/>
    <col min="14" max="14" width="11.1230769230769" style="3"/>
    <col min="15" max="16384" width="11.1230769230769" style="2"/>
  </cols>
  <sheetData>
    <row r="2" ht="19.25" spans="1:14">
      <c r="A2" s="4" t="s">
        <v>172</v>
      </c>
      <c r="B2" s="5" t="s">
        <v>482</v>
      </c>
      <c r="C2" s="6" t="s">
        <v>483</v>
      </c>
      <c r="D2" s="6" t="s">
        <v>484</v>
      </c>
      <c r="E2" s="6" t="s">
        <v>485</v>
      </c>
      <c r="F2" s="7" t="s">
        <v>486</v>
      </c>
      <c r="G2" s="7" t="s">
        <v>487</v>
      </c>
      <c r="H2" s="7" t="s">
        <v>488</v>
      </c>
      <c r="I2" s="7" t="s">
        <v>489</v>
      </c>
      <c r="J2" s="24" t="s">
        <v>490</v>
      </c>
      <c r="K2" s="24" t="s">
        <v>491</v>
      </c>
      <c r="L2" s="24" t="s">
        <v>492</v>
      </c>
      <c r="M2" s="24" t="s">
        <v>493</v>
      </c>
      <c r="N2" s="24" t="s">
        <v>494</v>
      </c>
    </row>
    <row r="3" spans="1:1">
      <c r="A3" s="8"/>
    </row>
    <row r="4" spans="1:14">
      <c r="A4" s="2" t="s">
        <v>16</v>
      </c>
      <c r="B4" s="9">
        <v>1368</v>
      </c>
      <c r="C4" s="9">
        <v>1429</v>
      </c>
      <c r="D4" s="9">
        <v>1473.708</v>
      </c>
      <c r="E4" s="9">
        <v>1544</v>
      </c>
      <c r="F4" s="9">
        <v>1523.3</v>
      </c>
      <c r="G4" s="9">
        <v>1584.6</v>
      </c>
      <c r="H4" s="9">
        <v>1712.059</v>
      </c>
      <c r="I4" s="9">
        <v>1644.439</v>
      </c>
      <c r="J4" s="9">
        <f>MOD!AV35</f>
        <v>0</v>
      </c>
      <c r="K4" s="9">
        <f>MOD!AW35</f>
        <v>0</v>
      </c>
      <c r="L4" s="9">
        <f>MOD!AX35</f>
        <v>0</v>
      </c>
      <c r="M4" s="9">
        <f>MOD!AY35</f>
        <v>0</v>
      </c>
      <c r="N4" s="9">
        <f>MOD!AZ35</f>
        <v>0</v>
      </c>
    </row>
    <row r="5" spans="1:14">
      <c r="A5" s="2" t="s">
        <v>174</v>
      </c>
      <c r="B5" s="9">
        <v>-726.6</v>
      </c>
      <c r="C5" s="9">
        <v>-711</v>
      </c>
      <c r="D5" s="9">
        <v>-726.312</v>
      </c>
      <c r="E5" s="9">
        <v>-778.7</v>
      </c>
      <c r="F5" s="9">
        <v>-779.9</v>
      </c>
      <c r="G5" s="9">
        <v>-781.6</v>
      </c>
      <c r="H5" s="9">
        <v>-856.561</v>
      </c>
      <c r="I5" s="9">
        <v>-827.074</v>
      </c>
      <c r="J5" s="9" t="e">
        <f>MOD!#REF!</f>
        <v>#REF!</v>
      </c>
      <c r="K5" s="9" t="e">
        <f>MOD!#REF!</f>
        <v>#REF!</v>
      </c>
      <c r="L5" s="9" t="e">
        <f>MOD!#REF!</f>
        <v>#REF!</v>
      </c>
      <c r="M5" s="9" t="e">
        <f>MOD!#REF!</f>
        <v>#REF!</v>
      </c>
      <c r="N5" s="9" t="e">
        <f>MOD!#REF!</f>
        <v>#REF!</v>
      </c>
    </row>
    <row r="6" spans="1:14">
      <c r="A6" s="8" t="s">
        <v>176</v>
      </c>
      <c r="B6" s="10">
        <f t="shared" ref="B6:N6" si="0">SUM(B4:B5)</f>
        <v>641.4</v>
      </c>
      <c r="C6" s="10">
        <f t="shared" si="0"/>
        <v>718</v>
      </c>
      <c r="D6" s="10">
        <f t="shared" si="0"/>
        <v>747.396</v>
      </c>
      <c r="E6" s="10">
        <f t="shared" si="0"/>
        <v>765.3</v>
      </c>
      <c r="F6" s="10">
        <f t="shared" si="0"/>
        <v>743.4</v>
      </c>
      <c r="G6" s="10">
        <f t="shared" si="0"/>
        <v>803</v>
      </c>
      <c r="H6" s="10">
        <f t="shared" si="0"/>
        <v>855.498</v>
      </c>
      <c r="I6" s="10">
        <f t="shared" si="0"/>
        <v>817.365</v>
      </c>
      <c r="J6" s="10" t="e">
        <f t="shared" si="0"/>
        <v>#REF!</v>
      </c>
      <c r="K6" s="10" t="e">
        <f t="shared" si="0"/>
        <v>#REF!</v>
      </c>
      <c r="L6" s="10" t="e">
        <f t="shared" si="0"/>
        <v>#REF!</v>
      </c>
      <c r="M6" s="10" t="e">
        <f t="shared" si="0"/>
        <v>#REF!</v>
      </c>
      <c r="N6" s="10" t="e">
        <f t="shared" si="0"/>
        <v>#REF!</v>
      </c>
    </row>
    <row r="7" spans="1:14">
      <c r="A7" s="2" t="s">
        <v>495</v>
      </c>
      <c r="B7" s="9">
        <v>-128.2</v>
      </c>
      <c r="C7" s="9">
        <v>-114.1</v>
      </c>
      <c r="D7" s="9">
        <v>-113.369</v>
      </c>
      <c r="E7" s="9">
        <v>-118.6</v>
      </c>
      <c r="F7" s="9">
        <v>-116.9</v>
      </c>
      <c r="G7" s="9">
        <v>-124</v>
      </c>
      <c r="H7" s="9">
        <v>-142.883</v>
      </c>
      <c r="I7" s="9">
        <v>-134.929</v>
      </c>
      <c r="J7" s="9" t="e">
        <f>MOD!#REF!</f>
        <v>#REF!</v>
      </c>
      <c r="K7" s="9" t="e">
        <f>MOD!#REF!</f>
        <v>#REF!</v>
      </c>
      <c r="L7" s="9" t="e">
        <f>MOD!#REF!</f>
        <v>#REF!</v>
      </c>
      <c r="M7" s="9" t="e">
        <f>MOD!#REF!</f>
        <v>#REF!</v>
      </c>
      <c r="N7" s="9" t="e">
        <f>MOD!#REF!</f>
        <v>#REF!</v>
      </c>
    </row>
    <row r="8" spans="1:14">
      <c r="A8" s="2" t="s">
        <v>496</v>
      </c>
      <c r="B8" s="9">
        <v>-212.1</v>
      </c>
      <c r="C8" s="9">
        <v>-214.1</v>
      </c>
      <c r="D8" s="9">
        <v>-193.874</v>
      </c>
      <c r="E8" s="9">
        <v>-220.9</v>
      </c>
      <c r="F8" s="9">
        <v>-253.1</v>
      </c>
      <c r="G8" s="9">
        <v>-231.1</v>
      </c>
      <c r="H8" s="9">
        <v>-204.359</v>
      </c>
      <c r="I8" s="9">
        <v>-212.49</v>
      </c>
      <c r="J8" s="9" t="e">
        <f>MOD!#REF!</f>
        <v>#REF!</v>
      </c>
      <c r="K8" s="9" t="e">
        <f>MOD!#REF!</f>
        <v>#REF!</v>
      </c>
      <c r="L8" s="9" t="e">
        <f>MOD!#REF!</f>
        <v>#REF!</v>
      </c>
      <c r="M8" s="9" t="e">
        <f>MOD!#REF!</f>
        <v>#REF!</v>
      </c>
      <c r="N8" s="9" t="e">
        <f>MOD!#REF!</f>
        <v>#REF!</v>
      </c>
    </row>
    <row r="9" spans="1:14">
      <c r="A9" s="2" t="s">
        <v>497</v>
      </c>
      <c r="B9" s="9">
        <v>-3.3</v>
      </c>
      <c r="C9" s="9">
        <v>-6.5</v>
      </c>
      <c r="D9" s="9">
        <v>-4.614</v>
      </c>
      <c r="E9" s="9">
        <v>-3.9</v>
      </c>
      <c r="F9" s="9">
        <v>-3.1</v>
      </c>
      <c r="G9" s="9">
        <v>-7.3</v>
      </c>
      <c r="H9" s="9">
        <v>0.939</v>
      </c>
      <c r="I9" s="9">
        <v>-5.525</v>
      </c>
      <c r="J9" s="9">
        <f t="shared" ref="J9:N10" si="1">I9</f>
        <v>-5.525</v>
      </c>
      <c r="K9" s="9">
        <f t="shared" si="1"/>
        <v>-5.525</v>
      </c>
      <c r="L9" s="9">
        <f t="shared" si="1"/>
        <v>-5.525</v>
      </c>
      <c r="M9" s="9">
        <f t="shared" si="1"/>
        <v>-5.525</v>
      </c>
      <c r="N9" s="9">
        <f t="shared" si="1"/>
        <v>-5.525</v>
      </c>
    </row>
    <row r="10" spans="1:14">
      <c r="A10" s="2" t="s">
        <v>498</v>
      </c>
      <c r="B10" s="9">
        <v>1.1</v>
      </c>
      <c r="C10" s="9">
        <v>1.6</v>
      </c>
      <c r="D10" s="9">
        <v>1.468</v>
      </c>
      <c r="E10" s="9">
        <v>1.2</v>
      </c>
      <c r="F10" s="9">
        <v>1.9</v>
      </c>
      <c r="G10" s="9">
        <v>1.5</v>
      </c>
      <c r="H10" s="9">
        <v>1.931</v>
      </c>
      <c r="I10" s="9">
        <v>2.196</v>
      </c>
      <c r="J10" s="9">
        <f t="shared" si="1"/>
        <v>2.196</v>
      </c>
      <c r="K10" s="9">
        <f t="shared" si="1"/>
        <v>2.196</v>
      </c>
      <c r="L10" s="9">
        <f t="shared" si="1"/>
        <v>2.196</v>
      </c>
      <c r="M10" s="9">
        <f t="shared" si="1"/>
        <v>2.196</v>
      </c>
      <c r="N10" s="9">
        <f t="shared" si="1"/>
        <v>2.196</v>
      </c>
    </row>
    <row r="11" spans="1:14">
      <c r="A11" s="8" t="s">
        <v>499</v>
      </c>
      <c r="B11" s="10">
        <v>298.7</v>
      </c>
      <c r="C11" s="10">
        <f t="shared" ref="C11:N11" si="2">SUM(C6:C10)</f>
        <v>384.9</v>
      </c>
      <c r="D11" s="10">
        <f t="shared" si="2"/>
        <v>437.007</v>
      </c>
      <c r="E11" s="10">
        <f t="shared" si="2"/>
        <v>423.1</v>
      </c>
      <c r="F11" s="10">
        <f t="shared" si="2"/>
        <v>372.2</v>
      </c>
      <c r="G11" s="10">
        <f t="shared" si="2"/>
        <v>442.1</v>
      </c>
      <c r="H11" s="10">
        <f t="shared" si="2"/>
        <v>511.126</v>
      </c>
      <c r="I11" s="10">
        <f t="shared" si="2"/>
        <v>466.617</v>
      </c>
      <c r="J11" s="10" t="e">
        <f t="shared" si="2"/>
        <v>#REF!</v>
      </c>
      <c r="K11" s="10" t="e">
        <f t="shared" si="2"/>
        <v>#REF!</v>
      </c>
      <c r="L11" s="10" t="e">
        <f t="shared" si="2"/>
        <v>#REF!</v>
      </c>
      <c r="M11" s="10" t="e">
        <f t="shared" si="2"/>
        <v>#REF!</v>
      </c>
      <c r="N11" s="10" t="e">
        <f t="shared" si="2"/>
        <v>#REF!</v>
      </c>
    </row>
    <row r="12" spans="1:14">
      <c r="A12" s="2" t="s">
        <v>500</v>
      </c>
      <c r="B12" s="9">
        <v>-17.9</v>
      </c>
      <c r="C12" s="9">
        <v>-4.3</v>
      </c>
      <c r="D12" s="9">
        <v>-8.29</v>
      </c>
      <c r="E12" s="9">
        <v>2.1</v>
      </c>
      <c r="F12" s="9">
        <v>-4.5</v>
      </c>
      <c r="G12" s="9">
        <v>-1.806</v>
      </c>
      <c r="H12" s="9">
        <v>-0.467</v>
      </c>
      <c r="I12" s="9">
        <v>-0.887</v>
      </c>
      <c r="J12" s="21">
        <f>I12</f>
        <v>-0.887</v>
      </c>
      <c r="K12" s="21">
        <f>J12</f>
        <v>-0.887</v>
      </c>
      <c r="L12" s="21">
        <f>K12</f>
        <v>-0.887</v>
      </c>
      <c r="M12" s="21">
        <f>L12</f>
        <v>-0.887</v>
      </c>
      <c r="N12" s="21">
        <f>M12</f>
        <v>-0.887</v>
      </c>
    </row>
    <row r="13" spans="1:14">
      <c r="A13" s="8" t="s">
        <v>501</v>
      </c>
      <c r="B13" s="10">
        <f t="shared" ref="B13:N13" si="3">SUM(B11:B12)</f>
        <v>280.8</v>
      </c>
      <c r="C13" s="10">
        <f t="shared" si="3"/>
        <v>380.6</v>
      </c>
      <c r="D13" s="10">
        <f t="shared" si="3"/>
        <v>428.717</v>
      </c>
      <c r="E13" s="10">
        <f t="shared" si="3"/>
        <v>425.2</v>
      </c>
      <c r="F13" s="10">
        <f t="shared" si="3"/>
        <v>367.7</v>
      </c>
      <c r="G13" s="10">
        <f t="shared" si="3"/>
        <v>440.294</v>
      </c>
      <c r="H13" s="10">
        <f t="shared" si="3"/>
        <v>510.659</v>
      </c>
      <c r="I13" s="10">
        <f t="shared" si="3"/>
        <v>465.73</v>
      </c>
      <c r="J13" s="10" t="e">
        <f t="shared" si="3"/>
        <v>#REF!</v>
      </c>
      <c r="K13" s="10" t="e">
        <f t="shared" si="3"/>
        <v>#REF!</v>
      </c>
      <c r="L13" s="10" t="e">
        <f t="shared" si="3"/>
        <v>#REF!</v>
      </c>
      <c r="M13" s="10" t="e">
        <f t="shared" si="3"/>
        <v>#REF!</v>
      </c>
      <c r="N13" s="10" t="e">
        <f t="shared" si="3"/>
        <v>#REF!</v>
      </c>
    </row>
    <row r="14" spans="1:14">
      <c r="A14" s="2" t="s">
        <v>194</v>
      </c>
      <c r="B14" s="9">
        <v>-59.1</v>
      </c>
      <c r="C14" s="9">
        <v>-83.7</v>
      </c>
      <c r="D14" s="9">
        <v>-94.318</v>
      </c>
      <c r="E14" s="9">
        <v>-93.5</v>
      </c>
      <c r="F14" s="9">
        <v>-73.3</v>
      </c>
      <c r="G14" s="9">
        <v>-88.1</v>
      </c>
      <c r="H14" s="9">
        <v>-97.377</v>
      </c>
      <c r="I14" s="9">
        <v>-90.817</v>
      </c>
      <c r="J14" s="10" t="e">
        <f>-J13*J30</f>
        <v>#REF!</v>
      </c>
      <c r="K14" s="10" t="e">
        <f>-K13*K30</f>
        <v>#REF!</v>
      </c>
      <c r="L14" s="10" t="e">
        <f>-L13*L30</f>
        <v>#REF!</v>
      </c>
      <c r="M14" s="10" t="e">
        <f>-M13*M30</f>
        <v>#REF!</v>
      </c>
      <c r="N14" s="10" t="e">
        <f>-N13*N30</f>
        <v>#REF!</v>
      </c>
    </row>
    <row r="15" spans="1:14">
      <c r="A15" s="8" t="s">
        <v>502</v>
      </c>
      <c r="B15" s="10">
        <f t="shared" ref="B15:N15" si="4">SUM(B13:B14)</f>
        <v>221.7</v>
      </c>
      <c r="C15" s="10">
        <f t="shared" si="4"/>
        <v>296.9</v>
      </c>
      <c r="D15" s="10">
        <f t="shared" si="4"/>
        <v>334.399</v>
      </c>
      <c r="E15" s="10">
        <f t="shared" si="4"/>
        <v>331.7</v>
      </c>
      <c r="F15" s="10">
        <f t="shared" si="4"/>
        <v>294.4</v>
      </c>
      <c r="G15" s="10">
        <f t="shared" si="4"/>
        <v>352.194</v>
      </c>
      <c r="H15" s="10">
        <f t="shared" si="4"/>
        <v>413.282</v>
      </c>
      <c r="I15" s="10">
        <f t="shared" si="4"/>
        <v>374.913</v>
      </c>
      <c r="J15" s="10" t="e">
        <f t="shared" si="4"/>
        <v>#REF!</v>
      </c>
      <c r="K15" s="10" t="e">
        <f t="shared" si="4"/>
        <v>#REF!</v>
      </c>
      <c r="L15" s="10" t="e">
        <f t="shared" si="4"/>
        <v>#REF!</v>
      </c>
      <c r="M15" s="10" t="e">
        <f t="shared" si="4"/>
        <v>#REF!</v>
      </c>
      <c r="N15" s="10" t="e">
        <f t="shared" si="4"/>
        <v>#REF!</v>
      </c>
    </row>
    <row r="16" spans="1:14">
      <c r="A16" s="2" t="s">
        <v>503</v>
      </c>
      <c r="B16" s="9">
        <v>1.9</v>
      </c>
      <c r="C16" s="9">
        <v>1.4</v>
      </c>
      <c r="D16" s="9">
        <v>1.2</v>
      </c>
      <c r="E16" s="9">
        <v>1.8</v>
      </c>
      <c r="F16" s="9">
        <v>1</v>
      </c>
      <c r="G16" s="9">
        <v>0.8</v>
      </c>
      <c r="H16" s="9">
        <v>1.2</v>
      </c>
      <c r="I16" s="9">
        <v>0.7</v>
      </c>
      <c r="J16" s="10">
        <f>I16</f>
        <v>0.7</v>
      </c>
      <c r="K16" s="10">
        <f>J16</f>
        <v>0.7</v>
      </c>
      <c r="L16" s="10">
        <f>K16</f>
        <v>0.7</v>
      </c>
      <c r="M16" s="10">
        <f>L16</f>
        <v>0.7</v>
      </c>
      <c r="N16" s="10">
        <f>M16</f>
        <v>0.7</v>
      </c>
    </row>
    <row r="17" spans="1:14">
      <c r="A17" s="8" t="s">
        <v>504</v>
      </c>
      <c r="B17" s="10">
        <f t="shared" ref="B17:N17" si="5">B15-B16</f>
        <v>219.8</v>
      </c>
      <c r="C17" s="10">
        <f t="shared" si="5"/>
        <v>295.5</v>
      </c>
      <c r="D17" s="10">
        <f t="shared" si="5"/>
        <v>333.199</v>
      </c>
      <c r="E17" s="10">
        <f t="shared" si="5"/>
        <v>329.9</v>
      </c>
      <c r="F17" s="10">
        <f t="shared" si="5"/>
        <v>293.4</v>
      </c>
      <c r="G17" s="10">
        <f t="shared" si="5"/>
        <v>351.394</v>
      </c>
      <c r="H17" s="10">
        <f t="shared" si="5"/>
        <v>412.082</v>
      </c>
      <c r="I17" s="10">
        <f t="shared" si="5"/>
        <v>374.213</v>
      </c>
      <c r="J17" s="10" t="e">
        <f t="shared" si="5"/>
        <v>#REF!</v>
      </c>
      <c r="K17" s="10" t="e">
        <f t="shared" si="5"/>
        <v>#REF!</v>
      </c>
      <c r="L17" s="10" t="e">
        <f t="shared" si="5"/>
        <v>#REF!</v>
      </c>
      <c r="M17" s="10" t="e">
        <f t="shared" si="5"/>
        <v>#REF!</v>
      </c>
      <c r="N17" s="10" t="e">
        <f t="shared" si="5"/>
        <v>#REF!</v>
      </c>
    </row>
    <row r="18" spans="1:13">
      <c r="A18" s="11"/>
      <c r="B18" s="10"/>
      <c r="C18" s="10"/>
      <c r="D18" s="10"/>
      <c r="E18" s="10"/>
      <c r="F18" s="10"/>
      <c r="G18" s="10"/>
      <c r="H18" s="10"/>
      <c r="I18" s="10"/>
      <c r="J18" s="25"/>
      <c r="K18" s="25"/>
      <c r="L18" s="25"/>
      <c r="M18" s="25"/>
    </row>
    <row r="19" spans="1:14">
      <c r="A19" s="2" t="s">
        <v>505</v>
      </c>
      <c r="B19" s="12">
        <v>182.836</v>
      </c>
      <c r="C19" s="12">
        <v>181.783</v>
      </c>
      <c r="D19" s="12">
        <v>181.477</v>
      </c>
      <c r="E19" s="12">
        <v>181.046</v>
      </c>
      <c r="F19" s="12">
        <v>181.22</v>
      </c>
      <c r="G19" s="12">
        <v>180.25</v>
      </c>
      <c r="H19" s="12">
        <v>179.952</v>
      </c>
      <c r="I19" s="12">
        <v>179.586</v>
      </c>
      <c r="J19" s="26">
        <v>181.2</v>
      </c>
      <c r="K19" s="26">
        <v>181.2</v>
      </c>
      <c r="L19" s="26">
        <v>181.2</v>
      </c>
      <c r="M19" s="26">
        <v>181.2</v>
      </c>
      <c r="N19" s="26">
        <v>181.2</v>
      </c>
    </row>
    <row r="20" spans="1:14">
      <c r="A20" s="2" t="s">
        <v>506</v>
      </c>
      <c r="B20" s="12">
        <v>183.072</v>
      </c>
      <c r="C20" s="12">
        <v>182.021</v>
      </c>
      <c r="D20" s="12">
        <v>181.764</v>
      </c>
      <c r="E20" s="12">
        <v>181.315</v>
      </c>
      <c r="F20" s="12">
        <v>181.511</v>
      </c>
      <c r="G20" s="12">
        <v>180.527</v>
      </c>
      <c r="H20" s="12">
        <v>180.206</v>
      </c>
      <c r="I20" s="12">
        <v>179.84</v>
      </c>
      <c r="J20" s="26">
        <v>181.5</v>
      </c>
      <c r="K20" s="26">
        <v>181.5</v>
      </c>
      <c r="L20" s="26">
        <v>181.5</v>
      </c>
      <c r="M20" s="26">
        <v>181.5</v>
      </c>
      <c r="N20" s="26">
        <v>181.5</v>
      </c>
    </row>
    <row r="21" spans="2:9">
      <c r="B21" s="13"/>
      <c r="C21" s="12"/>
      <c r="D21" s="12"/>
      <c r="E21" s="12"/>
      <c r="F21" s="12"/>
      <c r="G21" s="12"/>
      <c r="H21" s="12"/>
      <c r="I21" s="12"/>
    </row>
    <row r="22" spans="1:14">
      <c r="A22" s="2" t="s">
        <v>507</v>
      </c>
      <c r="B22" s="12">
        <f t="shared" ref="B22:N22" si="6">B15/B19</f>
        <v>1.21256207749021</v>
      </c>
      <c r="C22" s="12">
        <f t="shared" si="6"/>
        <v>1.63326603697816</v>
      </c>
      <c r="D22" s="12">
        <f t="shared" si="6"/>
        <v>1.84265223692259</v>
      </c>
      <c r="E22" s="12">
        <f t="shared" si="6"/>
        <v>1.83213106061443</v>
      </c>
      <c r="F22" s="12">
        <f t="shared" si="6"/>
        <v>1.62454475223485</v>
      </c>
      <c r="G22" s="12">
        <f t="shared" si="6"/>
        <v>1.95391955617198</v>
      </c>
      <c r="H22" s="12">
        <f t="shared" si="6"/>
        <v>2.29662354405619</v>
      </c>
      <c r="I22" s="12">
        <f t="shared" si="6"/>
        <v>2.08765159867696</v>
      </c>
      <c r="J22" s="12" t="e">
        <f t="shared" si="6"/>
        <v>#REF!</v>
      </c>
      <c r="K22" s="12" t="e">
        <f t="shared" si="6"/>
        <v>#REF!</v>
      </c>
      <c r="L22" s="12" t="e">
        <f t="shared" si="6"/>
        <v>#REF!</v>
      </c>
      <c r="M22" s="12" t="e">
        <f t="shared" si="6"/>
        <v>#REF!</v>
      </c>
      <c r="N22" s="12" t="e">
        <f t="shared" si="6"/>
        <v>#REF!</v>
      </c>
    </row>
    <row r="23" spans="1:14">
      <c r="A23" s="2" t="s">
        <v>204</v>
      </c>
      <c r="B23" s="12">
        <f t="shared" ref="B23:N23" si="7">B15/B20</f>
        <v>1.2109989512323</v>
      </c>
      <c r="C23" s="12">
        <f t="shared" si="7"/>
        <v>1.6311304739563</v>
      </c>
      <c r="D23" s="12">
        <f t="shared" si="7"/>
        <v>1.83974274333751</v>
      </c>
      <c r="E23" s="12">
        <f t="shared" si="7"/>
        <v>1.82941290020131</v>
      </c>
      <c r="F23" s="12">
        <f t="shared" si="7"/>
        <v>1.62194026808293</v>
      </c>
      <c r="G23" s="12">
        <f t="shared" si="7"/>
        <v>1.95092146881076</v>
      </c>
      <c r="H23" s="12">
        <f t="shared" si="7"/>
        <v>2.29338645772061</v>
      </c>
      <c r="I23" s="12">
        <f t="shared" si="7"/>
        <v>2.08470306939502</v>
      </c>
      <c r="J23" s="12" t="e">
        <f t="shared" si="7"/>
        <v>#REF!</v>
      </c>
      <c r="K23" s="12" t="e">
        <f t="shared" si="7"/>
        <v>#REF!</v>
      </c>
      <c r="L23" s="12" t="e">
        <f t="shared" si="7"/>
        <v>#REF!</v>
      </c>
      <c r="M23" s="12" t="e">
        <f t="shared" si="7"/>
        <v>#REF!</v>
      </c>
      <c r="N23" s="12" t="e">
        <f t="shared" si="7"/>
        <v>#REF!</v>
      </c>
    </row>
    <row r="24" spans="1:14">
      <c r="A24" s="2" t="s">
        <v>508</v>
      </c>
      <c r="B24" s="12">
        <f t="shared" ref="B24:N24" si="8">B23-B22</f>
        <v>-0.00156312625790767</v>
      </c>
      <c r="C24" s="12">
        <f t="shared" si="8"/>
        <v>-0.00213556302185358</v>
      </c>
      <c r="D24" s="12">
        <f t="shared" si="8"/>
        <v>-0.00290949358507064</v>
      </c>
      <c r="E24" s="12">
        <f t="shared" si="8"/>
        <v>-0.00271816041312234</v>
      </c>
      <c r="F24" s="12">
        <f t="shared" si="8"/>
        <v>-0.00260448415192638</v>
      </c>
      <c r="G24" s="12">
        <f t="shared" si="8"/>
        <v>-0.00299808736122342</v>
      </c>
      <c r="H24" s="12">
        <f t="shared" si="8"/>
        <v>-0.00323708633558395</v>
      </c>
      <c r="I24" s="12">
        <f t="shared" si="8"/>
        <v>-0.00294852928193912</v>
      </c>
      <c r="J24" s="12" t="e">
        <f t="shared" si="8"/>
        <v>#REF!</v>
      </c>
      <c r="K24" s="12" t="e">
        <f t="shared" si="8"/>
        <v>#REF!</v>
      </c>
      <c r="L24" s="12" t="e">
        <f t="shared" si="8"/>
        <v>#REF!</v>
      </c>
      <c r="M24" s="12" t="e">
        <f t="shared" si="8"/>
        <v>#REF!</v>
      </c>
      <c r="N24" s="12" t="e">
        <f t="shared" si="8"/>
        <v>#REF!</v>
      </c>
    </row>
    <row r="25" spans="2:13">
      <c r="B25" s="12"/>
      <c r="C25" s="12"/>
      <c r="D25" s="12"/>
      <c r="E25" s="12"/>
      <c r="F25" s="12"/>
      <c r="G25" s="12"/>
      <c r="H25" s="12"/>
      <c r="I25" s="12"/>
      <c r="J25" s="27"/>
      <c r="K25" s="27"/>
      <c r="L25" s="27"/>
      <c r="M25" s="27"/>
    </row>
    <row r="26" spans="1:9">
      <c r="A26" s="14" t="s">
        <v>509</v>
      </c>
      <c r="B26" s="12"/>
      <c r="C26" s="12"/>
      <c r="D26" s="12"/>
      <c r="E26" s="12"/>
      <c r="F26" s="12"/>
      <c r="G26" s="12"/>
      <c r="H26" s="12"/>
      <c r="I26" s="12"/>
    </row>
    <row r="27" spans="1:14">
      <c r="A27" s="2" t="s">
        <v>510</v>
      </c>
      <c r="B27" s="15" t="str">
        <f>IFERROR(B4/A4-1,"N/A")</f>
        <v>N/A</v>
      </c>
      <c r="C27" s="16">
        <f t="shared" ref="C27:N27" si="9">C4/B4-1</f>
        <v>0.0445906432748537</v>
      </c>
      <c r="D27" s="16">
        <f t="shared" si="9"/>
        <v>0.0312862141357593</v>
      </c>
      <c r="E27" s="16">
        <f t="shared" si="9"/>
        <v>0.0476973728852663</v>
      </c>
      <c r="F27" s="16">
        <f t="shared" si="9"/>
        <v>-0.0134067357512954</v>
      </c>
      <c r="G27" s="16">
        <f t="shared" si="9"/>
        <v>0.0402415807785728</v>
      </c>
      <c r="H27" s="16">
        <f t="shared" si="9"/>
        <v>0.0804360721948758</v>
      </c>
      <c r="I27" s="16">
        <f t="shared" si="9"/>
        <v>-0.0394963024054661</v>
      </c>
      <c r="J27" s="16">
        <f t="shared" si="9"/>
        <v>-1</v>
      </c>
      <c r="K27" s="16" t="e">
        <f t="shared" si="9"/>
        <v>#DIV/0!</v>
      </c>
      <c r="L27" s="16" t="e">
        <f t="shared" si="9"/>
        <v>#DIV/0!</v>
      </c>
      <c r="M27" s="16" t="e">
        <f t="shared" si="9"/>
        <v>#DIV/0!</v>
      </c>
      <c r="N27" s="16" t="e">
        <f t="shared" si="9"/>
        <v>#DIV/0!</v>
      </c>
    </row>
    <row r="28" spans="1:14">
      <c r="A28" s="2" t="s">
        <v>511</v>
      </c>
      <c r="B28" s="16">
        <f t="shared" ref="B28:N28" si="10">B6/B4</f>
        <v>0.468859649122807</v>
      </c>
      <c r="C28" s="16">
        <f t="shared" si="10"/>
        <v>0.502449265220434</v>
      </c>
      <c r="D28" s="16">
        <f t="shared" si="10"/>
        <v>0.507153384523936</v>
      </c>
      <c r="E28" s="16">
        <f t="shared" si="10"/>
        <v>0.495660621761658</v>
      </c>
      <c r="F28" s="16">
        <f t="shared" si="10"/>
        <v>0.488019431497407</v>
      </c>
      <c r="G28" s="16">
        <f t="shared" si="10"/>
        <v>0.506752492742648</v>
      </c>
      <c r="H28" s="16">
        <f t="shared" si="10"/>
        <v>0.499689555091267</v>
      </c>
      <c r="I28" s="16">
        <f t="shared" si="10"/>
        <v>0.497047929415442</v>
      </c>
      <c r="J28" s="16" t="e">
        <f t="shared" si="10"/>
        <v>#REF!</v>
      </c>
      <c r="K28" s="16" t="e">
        <f t="shared" si="10"/>
        <v>#REF!</v>
      </c>
      <c r="L28" s="16" t="e">
        <f t="shared" si="10"/>
        <v>#REF!</v>
      </c>
      <c r="M28" s="16" t="e">
        <f t="shared" si="10"/>
        <v>#REF!</v>
      </c>
      <c r="N28" s="16" t="e">
        <f t="shared" si="10"/>
        <v>#REF!</v>
      </c>
    </row>
    <row r="29" spans="1:14">
      <c r="A29" s="2" t="s">
        <v>512</v>
      </c>
      <c r="B29" s="16">
        <f t="shared" ref="B29:N29" si="11">-(B8+B7)/B4</f>
        <v>0.24875730994152</v>
      </c>
      <c r="C29" s="16">
        <f t="shared" si="11"/>
        <v>0.229671098670399</v>
      </c>
      <c r="D29" s="16">
        <f t="shared" si="11"/>
        <v>0.208482955917997</v>
      </c>
      <c r="E29" s="16">
        <f t="shared" si="11"/>
        <v>0.219883419689119</v>
      </c>
      <c r="F29" s="16">
        <f t="shared" si="11"/>
        <v>0.242893717586818</v>
      </c>
      <c r="G29" s="16">
        <f t="shared" si="11"/>
        <v>0.224094408683579</v>
      </c>
      <c r="H29" s="16">
        <f t="shared" si="11"/>
        <v>0.202821281275937</v>
      </c>
      <c r="I29" s="16">
        <f t="shared" si="11"/>
        <v>0.211269010282534</v>
      </c>
      <c r="J29" s="16" t="e">
        <f t="shared" si="11"/>
        <v>#REF!</v>
      </c>
      <c r="K29" s="16" t="e">
        <f t="shared" si="11"/>
        <v>#REF!</v>
      </c>
      <c r="L29" s="16" t="e">
        <f t="shared" si="11"/>
        <v>#REF!</v>
      </c>
      <c r="M29" s="16" t="e">
        <f t="shared" si="11"/>
        <v>#REF!</v>
      </c>
      <c r="N29" s="16" t="e">
        <f t="shared" si="11"/>
        <v>#REF!</v>
      </c>
    </row>
    <row r="30" spans="1:14">
      <c r="A30" s="2" t="s">
        <v>513</v>
      </c>
      <c r="B30" s="16">
        <f t="shared" ref="B30:I30" si="12">-B14/B13</f>
        <v>0.210470085470085</v>
      </c>
      <c r="C30" s="16">
        <f t="shared" si="12"/>
        <v>0.219915922228061</v>
      </c>
      <c r="D30" s="16">
        <f t="shared" si="12"/>
        <v>0.220000606460672</v>
      </c>
      <c r="E30" s="16">
        <f t="shared" si="12"/>
        <v>0.219896519285042</v>
      </c>
      <c r="F30" s="16">
        <f t="shared" si="12"/>
        <v>0.199347293989666</v>
      </c>
      <c r="G30" s="16">
        <f t="shared" si="12"/>
        <v>0.200093573839298</v>
      </c>
      <c r="H30" s="16">
        <f t="shared" si="12"/>
        <v>0.190688894154416</v>
      </c>
      <c r="I30" s="16">
        <f t="shared" si="12"/>
        <v>0.194999248491615</v>
      </c>
      <c r="J30" s="28">
        <v>0.22</v>
      </c>
      <c r="K30" s="28">
        <v>0.22</v>
      </c>
      <c r="L30" s="28">
        <v>0.22</v>
      </c>
      <c r="M30" s="28">
        <v>0.22</v>
      </c>
      <c r="N30" s="28">
        <v>0.22</v>
      </c>
    </row>
    <row r="31" spans="1:14">
      <c r="A31" s="2" t="s">
        <v>514</v>
      </c>
      <c r="B31" s="16">
        <f>B15/B4</f>
        <v>0.162061403508772</v>
      </c>
      <c r="C31" s="16">
        <f t="shared" ref="C31:N31" si="13">C13/C4</f>
        <v>0.266340097970609</v>
      </c>
      <c r="D31" s="16">
        <f t="shared" si="13"/>
        <v>0.290910411017651</v>
      </c>
      <c r="E31" s="16">
        <f t="shared" si="13"/>
        <v>0.275388601036269</v>
      </c>
      <c r="F31" s="16">
        <f t="shared" si="13"/>
        <v>0.241383837720738</v>
      </c>
      <c r="G31" s="16">
        <f t="shared" si="13"/>
        <v>0.277858134544996</v>
      </c>
      <c r="H31" s="16">
        <f t="shared" si="13"/>
        <v>0.298271846939854</v>
      </c>
      <c r="I31" s="16">
        <f t="shared" si="13"/>
        <v>0.283215126860893</v>
      </c>
      <c r="J31" s="16" t="e">
        <f t="shared" si="13"/>
        <v>#REF!</v>
      </c>
      <c r="K31" s="16" t="e">
        <f t="shared" si="13"/>
        <v>#REF!</v>
      </c>
      <c r="L31" s="16" t="e">
        <f t="shared" si="13"/>
        <v>#REF!</v>
      </c>
      <c r="M31" s="16" t="e">
        <f t="shared" si="13"/>
        <v>#REF!</v>
      </c>
      <c r="N31" s="16" t="e">
        <f t="shared" si="13"/>
        <v>#REF!</v>
      </c>
    </row>
    <row r="33" spans="1:9">
      <c r="A33" s="2" t="s">
        <v>515</v>
      </c>
      <c r="B33" s="12"/>
      <c r="C33" s="12"/>
      <c r="D33" s="12"/>
      <c r="E33" s="12"/>
      <c r="F33" s="12"/>
      <c r="G33" s="12"/>
      <c r="H33" s="12"/>
      <c r="I33" s="12"/>
    </row>
    <row r="34" spans="1:13">
      <c r="A34" s="2" t="s">
        <v>516</v>
      </c>
      <c r="B34" s="12">
        <v>171</v>
      </c>
      <c r="C34" s="12">
        <v>152</v>
      </c>
      <c r="D34" s="12">
        <v>152</v>
      </c>
      <c r="E34" s="12">
        <v>172</v>
      </c>
      <c r="F34" s="12">
        <v>186</v>
      </c>
      <c r="G34" s="12">
        <v>163</v>
      </c>
      <c r="H34" s="12">
        <v>158</v>
      </c>
      <c r="I34" s="12">
        <v>171</v>
      </c>
      <c r="J34" s="27"/>
      <c r="K34" s="27"/>
      <c r="L34" s="27"/>
      <c r="M34" s="27"/>
    </row>
    <row r="35" spans="2:13">
      <c r="B35" s="12"/>
      <c r="C35" s="12"/>
      <c r="D35" s="12"/>
      <c r="E35" s="12"/>
      <c r="F35" s="12"/>
      <c r="G35" s="12"/>
      <c r="H35" s="12"/>
      <c r="I35" s="12"/>
      <c r="J35" s="27"/>
      <c r="K35" s="27"/>
      <c r="L35" s="27"/>
      <c r="M35" s="27"/>
    </row>
    <row r="36" spans="2:13">
      <c r="B36" s="12"/>
      <c r="C36" s="12"/>
      <c r="D36" s="12"/>
      <c r="E36" s="12"/>
      <c r="F36" s="12"/>
      <c r="G36" s="12"/>
      <c r="H36" s="12"/>
      <c r="I36" s="12"/>
      <c r="J36" s="27"/>
      <c r="K36" s="27"/>
      <c r="L36" s="27"/>
      <c r="M36" s="27"/>
    </row>
    <row r="37" spans="2:13">
      <c r="B37" s="12"/>
      <c r="C37" s="12"/>
      <c r="D37" s="12"/>
      <c r="E37" s="12"/>
      <c r="F37" s="12"/>
      <c r="G37" s="12"/>
      <c r="H37" s="12"/>
      <c r="I37" s="12"/>
      <c r="J37" s="27"/>
      <c r="K37" s="27"/>
      <c r="L37" s="27"/>
      <c r="M37" s="27"/>
    </row>
    <row r="38" spans="1:13">
      <c r="A38" s="8" t="s">
        <v>517</v>
      </c>
      <c r="B38" s="17">
        <f t="shared" ref="B38:I38" si="14">SUM(B11+B34)</f>
        <v>469.7</v>
      </c>
      <c r="C38" s="17">
        <f t="shared" si="14"/>
        <v>536.9</v>
      </c>
      <c r="D38" s="17">
        <f t="shared" si="14"/>
        <v>589.007</v>
      </c>
      <c r="E38" s="17">
        <f t="shared" si="14"/>
        <v>595.1</v>
      </c>
      <c r="F38" s="17">
        <f t="shared" si="14"/>
        <v>558.2</v>
      </c>
      <c r="G38" s="17">
        <f t="shared" si="14"/>
        <v>605.1</v>
      </c>
      <c r="H38" s="17">
        <f t="shared" si="14"/>
        <v>669.126</v>
      </c>
      <c r="I38" s="17">
        <f t="shared" si="14"/>
        <v>637.617</v>
      </c>
      <c r="J38" s="27"/>
      <c r="K38" s="27"/>
      <c r="L38" s="27"/>
      <c r="M38" s="27"/>
    </row>
    <row r="40" ht="19.25" spans="1:13">
      <c r="A40" s="4" t="s">
        <v>206</v>
      </c>
      <c r="B40" s="5" t="s">
        <v>482</v>
      </c>
      <c r="C40" s="6" t="s">
        <v>483</v>
      </c>
      <c r="D40" s="6" t="s">
        <v>484</v>
      </c>
      <c r="E40" s="6" t="s">
        <v>485</v>
      </c>
      <c r="F40" s="7" t="s">
        <v>486</v>
      </c>
      <c r="G40" s="7" t="s">
        <v>487</v>
      </c>
      <c r="H40" s="7" t="s">
        <v>488</v>
      </c>
      <c r="I40" s="7" t="s">
        <v>489</v>
      </c>
      <c r="J40" s="24" t="s">
        <v>490</v>
      </c>
      <c r="K40" s="24" t="s">
        <v>491</v>
      </c>
      <c r="L40" s="24" t="s">
        <v>492</v>
      </c>
      <c r="M40" s="24" t="s">
        <v>493</v>
      </c>
    </row>
    <row r="41" spans="2:13">
      <c r="B41" s="18"/>
      <c r="C41" s="19"/>
      <c r="D41" s="19"/>
      <c r="E41" s="19"/>
      <c r="F41" s="20"/>
      <c r="G41" s="20"/>
      <c r="H41" s="20"/>
      <c r="I41" s="20"/>
      <c r="J41" s="20"/>
      <c r="K41" s="20"/>
      <c r="L41" s="20"/>
      <c r="M41" s="20"/>
    </row>
    <row r="42" spans="1:13">
      <c r="A42" s="2" t="s">
        <v>159</v>
      </c>
      <c r="B42" s="21">
        <v>674.662</v>
      </c>
      <c r="C42" s="21">
        <v>763.6</v>
      </c>
      <c r="D42" s="21">
        <v>898.8</v>
      </c>
      <c r="E42" s="21">
        <v>897.6</v>
      </c>
      <c r="F42" s="21">
        <v>948.5</v>
      </c>
      <c r="G42" s="21">
        <v>993</v>
      </c>
      <c r="H42" s="21">
        <v>1081.5</v>
      </c>
      <c r="I42" s="21">
        <v>1031.451</v>
      </c>
      <c r="J42" s="29"/>
      <c r="K42" s="29"/>
      <c r="L42" s="29"/>
      <c r="M42" s="29"/>
    </row>
    <row r="43" spans="1:13">
      <c r="A43" s="2" t="s">
        <v>518</v>
      </c>
      <c r="B43" s="21">
        <v>232.414</v>
      </c>
      <c r="C43" s="21">
        <v>285.5</v>
      </c>
      <c r="D43" s="21">
        <v>313.1</v>
      </c>
      <c r="E43" s="21">
        <v>299.4</v>
      </c>
      <c r="F43" s="21">
        <v>261.4</v>
      </c>
      <c r="G43" s="21">
        <v>364.8</v>
      </c>
      <c r="H43" s="21">
        <v>329.7</v>
      </c>
      <c r="I43" s="21">
        <v>291.908</v>
      </c>
      <c r="J43" s="29"/>
      <c r="K43" s="29"/>
      <c r="L43" s="29"/>
      <c r="M43" s="29"/>
    </row>
    <row r="44" spans="1:13">
      <c r="A44" s="2" t="s">
        <v>519</v>
      </c>
      <c r="B44" s="21">
        <v>1399.997</v>
      </c>
      <c r="C44" s="21">
        <v>1399.2</v>
      </c>
      <c r="D44" s="21">
        <v>1428.2</v>
      </c>
      <c r="E44" s="21">
        <v>1495.5</v>
      </c>
      <c r="F44" s="21">
        <v>1451.2</v>
      </c>
      <c r="G44" s="21">
        <v>1501.6</v>
      </c>
      <c r="H44" s="21">
        <v>1569</v>
      </c>
      <c r="I44" s="21">
        <v>1531.018</v>
      </c>
      <c r="J44" s="30"/>
      <c r="K44" s="30"/>
      <c r="L44" s="30"/>
      <c r="M44" s="30"/>
    </row>
    <row r="45" spans="1:13">
      <c r="A45" s="2" t="s">
        <v>520</v>
      </c>
      <c r="B45" s="21">
        <v>16.054</v>
      </c>
      <c r="C45" s="21">
        <v>18.8</v>
      </c>
      <c r="D45" s="21">
        <v>15.7</v>
      </c>
      <c r="E45" s="21">
        <v>16.5</v>
      </c>
      <c r="F45" s="21">
        <v>11.6</v>
      </c>
      <c r="G45" s="21">
        <v>12.9</v>
      </c>
      <c r="H45" s="21">
        <v>24.2</v>
      </c>
      <c r="I45" s="21">
        <v>16.319</v>
      </c>
      <c r="J45" s="30"/>
      <c r="K45" s="30"/>
      <c r="L45" s="30"/>
      <c r="M45" s="30"/>
    </row>
    <row r="46" spans="1:13">
      <c r="A46" s="2" t="s">
        <v>521</v>
      </c>
      <c r="B46" s="21">
        <v>153.183</v>
      </c>
      <c r="C46" s="21">
        <v>195.1</v>
      </c>
      <c r="D46" s="21">
        <v>191.6</v>
      </c>
      <c r="E46" s="21">
        <v>137.4</v>
      </c>
      <c r="F46" s="21">
        <v>130.2</v>
      </c>
      <c r="G46" s="21">
        <v>203.7</v>
      </c>
      <c r="H46" s="21">
        <v>202.3</v>
      </c>
      <c r="I46" s="21">
        <v>166.49</v>
      </c>
      <c r="J46" s="30"/>
      <c r="K46" s="30"/>
      <c r="L46" s="30"/>
      <c r="M46" s="30"/>
    </row>
    <row r="47" spans="1:13">
      <c r="A47" s="2" t="s">
        <v>522</v>
      </c>
      <c r="B47" s="21">
        <v>87.301</v>
      </c>
      <c r="C47" s="21">
        <v>86.3</v>
      </c>
      <c r="D47" s="21">
        <v>93.2</v>
      </c>
      <c r="E47" s="21">
        <v>97.8</v>
      </c>
      <c r="F47" s="21">
        <v>61.1</v>
      </c>
      <c r="G47" s="21">
        <v>60.1</v>
      </c>
      <c r="H47" s="21">
        <v>51.1</v>
      </c>
      <c r="I47" s="21">
        <v>52.58</v>
      </c>
      <c r="J47" s="30"/>
      <c r="K47" s="30"/>
      <c r="L47" s="30"/>
      <c r="M47" s="30"/>
    </row>
    <row r="48" spans="1:13">
      <c r="A48" s="2" t="s">
        <v>523</v>
      </c>
      <c r="B48" s="21">
        <v>1388.901</v>
      </c>
      <c r="C48" s="21">
        <v>1441.1</v>
      </c>
      <c r="D48" s="21">
        <v>1110.4</v>
      </c>
      <c r="E48" s="21">
        <v>1012.4</v>
      </c>
      <c r="F48" s="21">
        <v>1122</v>
      </c>
      <c r="G48" s="21">
        <v>1366.2</v>
      </c>
      <c r="H48" s="21">
        <v>1332.1</v>
      </c>
      <c r="I48" s="21">
        <v>1528.69</v>
      </c>
      <c r="J48" s="30"/>
      <c r="K48" s="30"/>
      <c r="L48" s="30"/>
      <c r="M48" s="30"/>
    </row>
    <row r="49" spans="1:9">
      <c r="A49" s="8" t="s">
        <v>213</v>
      </c>
      <c r="B49" s="22">
        <f t="shared" ref="B49:I49" si="15">SUM(B42:B48)</f>
        <v>3952.512</v>
      </c>
      <c r="C49" s="22">
        <f t="shared" si="15"/>
        <v>4189.6</v>
      </c>
      <c r="D49" s="22">
        <f t="shared" si="15"/>
        <v>4051</v>
      </c>
      <c r="E49" s="22">
        <f t="shared" si="15"/>
        <v>3956.6</v>
      </c>
      <c r="F49" s="22">
        <f t="shared" si="15"/>
        <v>3986</v>
      </c>
      <c r="G49" s="22">
        <f t="shared" si="15"/>
        <v>4502.3</v>
      </c>
      <c r="H49" s="22">
        <f t="shared" si="15"/>
        <v>4589.9</v>
      </c>
      <c r="I49" s="22">
        <f t="shared" si="15"/>
        <v>4618.456</v>
      </c>
    </row>
    <row r="50" spans="1:9">
      <c r="A50" s="2" t="s">
        <v>524</v>
      </c>
      <c r="B50" s="21">
        <v>785.2</v>
      </c>
      <c r="C50" s="21">
        <v>785.2</v>
      </c>
      <c r="D50" s="21">
        <v>785.2</v>
      </c>
      <c r="E50" s="21">
        <v>785.2</v>
      </c>
      <c r="F50" s="21">
        <v>785.2</v>
      </c>
      <c r="G50" s="21">
        <v>785.2</v>
      </c>
      <c r="H50" s="21">
        <v>785.2</v>
      </c>
      <c r="I50" s="21">
        <v>785.182</v>
      </c>
    </row>
    <row r="51" spans="1:9">
      <c r="A51" s="2" t="s">
        <v>214</v>
      </c>
      <c r="B51" s="21">
        <v>1307.4</v>
      </c>
      <c r="C51" s="21">
        <v>1329.9</v>
      </c>
      <c r="D51" s="21">
        <v>1370.7</v>
      </c>
      <c r="E51" s="21">
        <v>1380.8</v>
      </c>
      <c r="F51" s="21">
        <v>1419.7</v>
      </c>
      <c r="G51" s="21">
        <v>1436.6</v>
      </c>
      <c r="H51" s="21">
        <v>1479.6</v>
      </c>
      <c r="I51" s="21">
        <v>1508.356</v>
      </c>
    </row>
    <row r="52" spans="1:9">
      <c r="A52" s="2" t="s">
        <v>525</v>
      </c>
      <c r="B52" s="21">
        <v>1457.8</v>
      </c>
      <c r="C52" s="21">
        <v>1442.3</v>
      </c>
      <c r="D52" s="21">
        <v>1451.8</v>
      </c>
      <c r="E52" s="21">
        <v>1491.4</v>
      </c>
      <c r="F52" s="21">
        <v>1575.2</v>
      </c>
      <c r="G52" s="21">
        <v>1632.6</v>
      </c>
      <c r="H52" s="21">
        <v>1709.4</v>
      </c>
      <c r="I52" s="21">
        <v>1767.437</v>
      </c>
    </row>
    <row r="53" spans="1:9">
      <c r="A53" s="2" t="s">
        <v>526</v>
      </c>
      <c r="B53" s="21">
        <v>59.5</v>
      </c>
      <c r="C53" s="21">
        <v>63.7</v>
      </c>
      <c r="D53" s="21">
        <v>66.2</v>
      </c>
      <c r="E53" s="21">
        <v>65.6</v>
      </c>
      <c r="F53" s="21">
        <v>67.7</v>
      </c>
      <c r="G53" s="21">
        <v>69.2</v>
      </c>
      <c r="H53" s="21">
        <v>72.3</v>
      </c>
      <c r="I53" s="21">
        <v>75.312</v>
      </c>
    </row>
    <row r="54" spans="1:9">
      <c r="A54" s="2" t="s">
        <v>220</v>
      </c>
      <c r="B54" s="21">
        <v>203.4</v>
      </c>
      <c r="C54" s="21">
        <v>210.7</v>
      </c>
      <c r="D54" s="21">
        <v>225.6</v>
      </c>
      <c r="E54" s="21">
        <v>214.5</v>
      </c>
      <c r="F54" s="21">
        <v>217.6</v>
      </c>
      <c r="G54" s="21">
        <v>221.9</v>
      </c>
      <c r="H54" s="21">
        <v>253.3</v>
      </c>
      <c r="I54" s="21">
        <v>234.435</v>
      </c>
    </row>
    <row r="55" spans="1:9">
      <c r="A55" s="8" t="s">
        <v>221</v>
      </c>
      <c r="B55" s="22">
        <f>SUM(B50:B54)</f>
        <v>3813.3</v>
      </c>
      <c r="C55" s="22">
        <f t="shared" ref="C55:I55" si="16">SUM(C50:C54)</f>
        <v>3831.8</v>
      </c>
      <c r="D55" s="22">
        <f t="shared" si="16"/>
        <v>3899.5</v>
      </c>
      <c r="E55" s="22">
        <f t="shared" si="16"/>
        <v>3937.5</v>
      </c>
      <c r="F55" s="22">
        <f t="shared" si="16"/>
        <v>4065.4</v>
      </c>
      <c r="G55" s="22">
        <f t="shared" si="16"/>
        <v>4145.5</v>
      </c>
      <c r="H55" s="22">
        <f t="shared" si="16"/>
        <v>4299.8</v>
      </c>
      <c r="I55" s="22">
        <f t="shared" si="16"/>
        <v>4370.722</v>
      </c>
    </row>
    <row r="56" spans="1:9">
      <c r="A56" s="8" t="s">
        <v>222</v>
      </c>
      <c r="B56" s="22">
        <f t="shared" ref="B56:I56" si="17">B49+B55</f>
        <v>7765.812</v>
      </c>
      <c r="C56" s="22">
        <f t="shared" si="17"/>
        <v>8021.4</v>
      </c>
      <c r="D56" s="22">
        <f t="shared" si="17"/>
        <v>7950.5</v>
      </c>
      <c r="E56" s="22">
        <f t="shared" si="17"/>
        <v>7894.1</v>
      </c>
      <c r="F56" s="22">
        <f t="shared" si="17"/>
        <v>8051.4</v>
      </c>
      <c r="G56" s="22">
        <f t="shared" si="17"/>
        <v>8647.8</v>
      </c>
      <c r="H56" s="22">
        <f t="shared" si="17"/>
        <v>8889.7</v>
      </c>
      <c r="I56" s="22">
        <f t="shared" si="17"/>
        <v>8989.178</v>
      </c>
    </row>
    <row r="57" spans="2:9">
      <c r="B57" s="3"/>
      <c r="C57" s="3"/>
      <c r="D57" s="3"/>
      <c r="E57" s="3"/>
      <c r="F57" s="3"/>
      <c r="G57" s="3"/>
      <c r="H57" s="3"/>
      <c r="I57" s="3"/>
    </row>
    <row r="58" spans="1:9">
      <c r="A58" s="2" t="s">
        <v>228</v>
      </c>
      <c r="B58" s="23">
        <v>180.694</v>
      </c>
      <c r="C58" s="23">
        <v>185.978</v>
      </c>
      <c r="D58" s="23">
        <v>183.92</v>
      </c>
      <c r="E58" s="23">
        <v>185.522</v>
      </c>
      <c r="F58" s="23">
        <v>187.3</v>
      </c>
      <c r="G58" s="23">
        <v>189.679</v>
      </c>
      <c r="H58" s="23">
        <v>185.4</v>
      </c>
      <c r="I58" s="21">
        <v>200.275</v>
      </c>
    </row>
    <row r="59" spans="1:9">
      <c r="A59" s="2" t="s">
        <v>527</v>
      </c>
      <c r="B59" s="23">
        <v>902.968</v>
      </c>
      <c r="C59" s="23">
        <v>860.736</v>
      </c>
      <c r="D59" s="23">
        <v>937.841</v>
      </c>
      <c r="E59" s="23">
        <v>812.8</v>
      </c>
      <c r="F59" s="23">
        <v>930.6</v>
      </c>
      <c r="G59" s="23">
        <v>902.324</v>
      </c>
      <c r="H59" s="23">
        <v>940.4</v>
      </c>
      <c r="I59" s="21">
        <v>859.235</v>
      </c>
    </row>
    <row r="60" spans="1:9">
      <c r="A60" s="2" t="s">
        <v>528</v>
      </c>
      <c r="B60" s="23">
        <v>58.563</v>
      </c>
      <c r="C60" s="23">
        <v>144.896</v>
      </c>
      <c r="D60" s="23">
        <v>98.832</v>
      </c>
      <c r="E60" s="23">
        <v>181.506</v>
      </c>
      <c r="F60" s="23">
        <v>89.3</v>
      </c>
      <c r="G60" s="23">
        <v>175.867</v>
      </c>
      <c r="H60" s="23">
        <v>115.8</v>
      </c>
      <c r="I60" s="21">
        <v>152.469</v>
      </c>
    </row>
    <row r="61" spans="1:9">
      <c r="A61" s="2" t="s">
        <v>529</v>
      </c>
      <c r="B61" s="23">
        <v>19.993</v>
      </c>
      <c r="C61" s="23">
        <v>6.577</v>
      </c>
      <c r="D61" s="23">
        <v>18.782</v>
      </c>
      <c r="E61" s="23">
        <v>38.225</v>
      </c>
      <c r="F61" s="23">
        <v>13.539</v>
      </c>
      <c r="G61" s="23">
        <v>21.558</v>
      </c>
      <c r="H61" s="23">
        <v>23.547</v>
      </c>
      <c r="I61" s="21">
        <v>10.654</v>
      </c>
    </row>
    <row r="62" spans="1:9">
      <c r="A62" s="8" t="s">
        <v>231</v>
      </c>
      <c r="B62" s="22">
        <f t="shared" ref="B62:I62" si="18">SUM(B58:B61)</f>
        <v>1162.218</v>
      </c>
      <c r="C62" s="22">
        <f t="shared" si="18"/>
        <v>1198.187</v>
      </c>
      <c r="D62" s="22">
        <f t="shared" si="18"/>
        <v>1239.375</v>
      </c>
      <c r="E62" s="22">
        <f t="shared" si="18"/>
        <v>1218.053</v>
      </c>
      <c r="F62" s="22">
        <f t="shared" si="18"/>
        <v>1220.739</v>
      </c>
      <c r="G62" s="22">
        <f t="shared" si="18"/>
        <v>1289.428</v>
      </c>
      <c r="H62" s="22">
        <f t="shared" si="18"/>
        <v>1265.147</v>
      </c>
      <c r="I62" s="22">
        <f t="shared" si="18"/>
        <v>1222.633</v>
      </c>
    </row>
    <row r="63" spans="1:9">
      <c r="A63" s="2" t="s">
        <v>530</v>
      </c>
      <c r="B63" s="23">
        <v>110.807</v>
      </c>
      <c r="C63" s="23">
        <v>102.076</v>
      </c>
      <c r="D63" s="23">
        <v>68.599</v>
      </c>
      <c r="E63" s="23">
        <v>101.576</v>
      </c>
      <c r="F63" s="23">
        <v>123</v>
      </c>
      <c r="G63" s="23">
        <v>111.497</v>
      </c>
      <c r="H63" s="23">
        <v>77.916</v>
      </c>
      <c r="I63" s="21">
        <v>101.275</v>
      </c>
    </row>
    <row r="64" spans="1:9">
      <c r="A64" s="2" t="s">
        <v>531</v>
      </c>
      <c r="B64" s="23">
        <v>126.507</v>
      </c>
      <c r="C64" s="23">
        <v>129.672</v>
      </c>
      <c r="D64" s="23">
        <v>131.875</v>
      </c>
      <c r="E64" s="23">
        <v>107.929</v>
      </c>
      <c r="F64" s="23">
        <v>136.8</v>
      </c>
      <c r="G64" s="23">
        <v>126.945</v>
      </c>
      <c r="H64" s="23">
        <v>128.314</v>
      </c>
      <c r="I64" s="21">
        <v>128.76</v>
      </c>
    </row>
    <row r="65" spans="1:9">
      <c r="A65" s="2" t="s">
        <v>532</v>
      </c>
      <c r="B65" s="31">
        <v>952.025</v>
      </c>
      <c r="C65" s="31">
        <v>1076.617</v>
      </c>
      <c r="D65" s="31">
        <v>1097.273</v>
      </c>
      <c r="E65" s="31">
        <v>1081.259</v>
      </c>
      <c r="F65" s="31">
        <v>1022.967</v>
      </c>
      <c r="G65" s="31">
        <v>1216.805</v>
      </c>
      <c r="H65" s="31">
        <v>1182.218</v>
      </c>
      <c r="I65" s="21">
        <v>1096.066</v>
      </c>
    </row>
    <row r="66" spans="1:9">
      <c r="A66" s="2" t="s">
        <v>533</v>
      </c>
      <c r="B66" s="32">
        <v>2811.779</v>
      </c>
      <c r="C66" s="32">
        <v>2707.513</v>
      </c>
      <c r="D66" s="32">
        <v>2681.136</v>
      </c>
      <c r="E66" s="32">
        <v>2541.969</v>
      </c>
      <c r="F66" s="32">
        <v>2477.186</v>
      </c>
      <c r="G66" s="32">
        <v>2622.786</v>
      </c>
      <c r="H66" s="32">
        <v>3129.116</v>
      </c>
      <c r="I66" s="32">
        <v>3095.78</v>
      </c>
    </row>
    <row r="67" spans="1:9">
      <c r="A67" s="8" t="s">
        <v>234</v>
      </c>
      <c r="B67" s="22">
        <f t="shared" ref="B67:I67" si="19">SUM(B63:B66)</f>
        <v>4001.118</v>
      </c>
      <c r="C67" s="22">
        <f t="shared" si="19"/>
        <v>4015.878</v>
      </c>
      <c r="D67" s="22">
        <f t="shared" si="19"/>
        <v>3978.883</v>
      </c>
      <c r="E67" s="22">
        <f t="shared" si="19"/>
        <v>3832.733</v>
      </c>
      <c r="F67" s="22">
        <f t="shared" si="19"/>
        <v>3759.953</v>
      </c>
      <c r="G67" s="22">
        <f t="shared" si="19"/>
        <v>4078.033</v>
      </c>
      <c r="H67" s="22">
        <f t="shared" si="19"/>
        <v>4517.564</v>
      </c>
      <c r="I67" s="22">
        <f t="shared" si="19"/>
        <v>4421.881</v>
      </c>
    </row>
    <row r="68" spans="1:9">
      <c r="A68" s="8" t="s">
        <v>235</v>
      </c>
      <c r="B68" s="22">
        <f t="shared" ref="B68:I68" si="20">B62+B67</f>
        <v>5163.336</v>
      </c>
      <c r="C68" s="22">
        <f t="shared" si="20"/>
        <v>5214.065</v>
      </c>
      <c r="D68" s="22">
        <f t="shared" si="20"/>
        <v>5218.258</v>
      </c>
      <c r="E68" s="22">
        <f t="shared" si="20"/>
        <v>5050.786</v>
      </c>
      <c r="F68" s="22">
        <f t="shared" si="20"/>
        <v>4980.692</v>
      </c>
      <c r="G68" s="22">
        <f t="shared" si="20"/>
        <v>5367.461</v>
      </c>
      <c r="H68" s="22">
        <f t="shared" si="20"/>
        <v>5782.711</v>
      </c>
      <c r="I68" s="22">
        <f t="shared" si="20"/>
        <v>5644.514</v>
      </c>
    </row>
    <row r="69" spans="2:9">
      <c r="B69" s="3"/>
      <c r="C69" s="3"/>
      <c r="D69" s="3"/>
      <c r="E69" s="3"/>
      <c r="F69" s="3"/>
      <c r="G69" s="3"/>
      <c r="H69" s="3"/>
      <c r="I69" s="3"/>
    </row>
    <row r="70" spans="1:9">
      <c r="A70" s="2" t="s">
        <v>534</v>
      </c>
      <c r="B70" s="23">
        <v>2592.857</v>
      </c>
      <c r="C70" s="23">
        <v>2801.495</v>
      </c>
      <c r="D70" s="23">
        <v>2725.295</v>
      </c>
      <c r="E70" s="23">
        <v>2834.516</v>
      </c>
      <c r="F70" s="23">
        <v>3060.888</v>
      </c>
      <c r="G70" s="23">
        <v>3274.583</v>
      </c>
      <c r="H70" s="23">
        <v>3099.842</v>
      </c>
      <c r="I70" s="23">
        <v>3336.951</v>
      </c>
    </row>
    <row r="71" spans="1:9">
      <c r="A71" s="2" t="s">
        <v>503</v>
      </c>
      <c r="B71" s="23">
        <v>9.63</v>
      </c>
      <c r="C71" s="23">
        <v>6.03</v>
      </c>
      <c r="D71" s="23">
        <v>6.884</v>
      </c>
      <c r="E71" s="23">
        <v>8.88</v>
      </c>
      <c r="F71" s="23">
        <v>9.734</v>
      </c>
      <c r="G71" s="23">
        <v>5.836</v>
      </c>
      <c r="H71" s="23">
        <v>7.037</v>
      </c>
      <c r="I71" s="23">
        <v>7.713</v>
      </c>
    </row>
    <row r="72" spans="1:9">
      <c r="A72" s="8" t="s">
        <v>535</v>
      </c>
      <c r="B72" s="22">
        <f>SUM(B70:B71)</f>
        <v>2602.487</v>
      </c>
      <c r="C72" s="22">
        <f t="shared" ref="C72:I72" si="21">SUM(C70:C71)</f>
        <v>2807.525</v>
      </c>
      <c r="D72" s="22">
        <f t="shared" si="21"/>
        <v>2732.179</v>
      </c>
      <c r="E72" s="22">
        <f t="shared" si="21"/>
        <v>2843.396</v>
      </c>
      <c r="F72" s="22">
        <f t="shared" si="21"/>
        <v>3070.622</v>
      </c>
      <c r="G72" s="22">
        <f t="shared" si="21"/>
        <v>3280.419</v>
      </c>
      <c r="H72" s="22">
        <f t="shared" si="21"/>
        <v>3106.879</v>
      </c>
      <c r="I72" s="22">
        <f t="shared" si="21"/>
        <v>3344.664</v>
      </c>
    </row>
    <row r="73" spans="1:9">
      <c r="A73" s="8"/>
      <c r="B73" s="22"/>
      <c r="C73" s="22"/>
      <c r="D73" s="22"/>
      <c r="E73" s="22"/>
      <c r="F73" s="22"/>
      <c r="G73" s="22"/>
      <c r="H73" s="22"/>
      <c r="I73" s="22"/>
    </row>
    <row r="74" spans="1:9">
      <c r="A74" s="8" t="s">
        <v>243</v>
      </c>
      <c r="B74" s="33">
        <f t="shared" ref="B74:I74" si="22">B72+B68</f>
        <v>7765.823</v>
      </c>
      <c r="C74" s="33">
        <f t="shared" si="22"/>
        <v>8021.59</v>
      </c>
      <c r="D74" s="33">
        <f t="shared" si="22"/>
        <v>7950.437</v>
      </c>
      <c r="E74" s="33">
        <f t="shared" si="22"/>
        <v>7894.182</v>
      </c>
      <c r="F74" s="33">
        <f t="shared" si="22"/>
        <v>8051.314</v>
      </c>
      <c r="G74" s="33">
        <f t="shared" si="22"/>
        <v>8647.88</v>
      </c>
      <c r="H74" s="33">
        <f t="shared" si="22"/>
        <v>8889.59</v>
      </c>
      <c r="I74" s="33">
        <f t="shared" si="22"/>
        <v>8989.178</v>
      </c>
    </row>
    <row r="75" spans="1:9">
      <c r="A75" s="8"/>
      <c r="B75" s="25"/>
      <c r="C75" s="25"/>
      <c r="D75" s="25"/>
      <c r="E75" s="25"/>
      <c r="F75" s="25"/>
      <c r="G75" s="25"/>
      <c r="H75" s="25"/>
      <c r="I75" s="25"/>
    </row>
    <row r="76" spans="1:9">
      <c r="A76" s="11" t="s">
        <v>244</v>
      </c>
      <c r="B76" s="34">
        <f t="shared" ref="B76:I76" si="23">B56-B74</f>
        <v>-0.010999999998603</v>
      </c>
      <c r="C76" s="34">
        <f t="shared" si="23"/>
        <v>-0.1899999999996</v>
      </c>
      <c r="D76" s="34">
        <f t="shared" si="23"/>
        <v>0.0630000000001019</v>
      </c>
      <c r="E76" s="34">
        <f t="shared" si="23"/>
        <v>-0.0820000000003347</v>
      </c>
      <c r="F76" s="34">
        <f t="shared" si="23"/>
        <v>0.0859999999993306</v>
      </c>
      <c r="G76" s="34">
        <f t="shared" si="23"/>
        <v>-0.0800000000017462</v>
      </c>
      <c r="H76" s="34">
        <f t="shared" si="23"/>
        <v>0.110000000000582</v>
      </c>
      <c r="I76" s="34">
        <f t="shared" si="23"/>
        <v>0</v>
      </c>
    </row>
    <row r="77" spans="1:9">
      <c r="A77" s="11"/>
      <c r="B77" s="35"/>
      <c r="C77" s="35"/>
      <c r="D77" s="35"/>
      <c r="E77" s="35"/>
      <c r="F77" s="35"/>
      <c r="G77" s="35"/>
      <c r="H77" s="35"/>
      <c r="I77" s="35"/>
    </row>
    <row r="78" spans="1:2">
      <c r="A78" s="8" t="s">
        <v>536</v>
      </c>
      <c r="B78" s="36"/>
    </row>
    <row r="79" spans="1:9">
      <c r="A79" s="2" t="s">
        <v>537</v>
      </c>
      <c r="B79" s="28">
        <f t="shared" ref="B79:I79" si="24">B4/B56</f>
        <v>0.176156723855793</v>
      </c>
      <c r="C79" s="28">
        <f t="shared" si="24"/>
        <v>0.178148452888523</v>
      </c>
      <c r="D79" s="28">
        <f t="shared" si="24"/>
        <v>0.1853604175838</v>
      </c>
      <c r="E79" s="28">
        <f t="shared" si="24"/>
        <v>0.195589110854942</v>
      </c>
      <c r="F79" s="28">
        <f t="shared" si="24"/>
        <v>0.189196909854187</v>
      </c>
      <c r="G79" s="28">
        <f t="shared" si="24"/>
        <v>0.183237355165476</v>
      </c>
      <c r="H79" s="28">
        <f t="shared" si="24"/>
        <v>0.192589063747933</v>
      </c>
      <c r="I79" s="28">
        <f t="shared" si="24"/>
        <v>0.182935414116841</v>
      </c>
    </row>
    <row r="80" spans="1:9">
      <c r="A80" s="2" t="s">
        <v>538</v>
      </c>
      <c r="B80" s="28">
        <f t="shared" ref="B80:I80" si="25">B13/B56</f>
        <v>0.0361584854230311</v>
      </c>
      <c r="C80" s="28">
        <f t="shared" si="25"/>
        <v>0.0474480763956417</v>
      </c>
      <c r="D80" s="28">
        <f t="shared" si="25"/>
        <v>0.0539232752657066</v>
      </c>
      <c r="E80" s="28">
        <f t="shared" si="25"/>
        <v>0.0538630116162704</v>
      </c>
      <c r="F80" s="28">
        <f t="shared" si="25"/>
        <v>0.0456690761855081</v>
      </c>
      <c r="G80" s="28">
        <f t="shared" si="25"/>
        <v>0.0509139896852379</v>
      </c>
      <c r="H80" s="28">
        <f t="shared" si="25"/>
        <v>0.0574438957445133</v>
      </c>
      <c r="I80" s="28">
        <f t="shared" si="25"/>
        <v>0.0518100765164512</v>
      </c>
    </row>
    <row r="81" spans="1:13">
      <c r="A81" s="2" t="s">
        <v>539</v>
      </c>
      <c r="B81" s="28">
        <f t="shared" ref="B81:I81" si="26">B15/B72</f>
        <v>0.0851877454142903</v>
      </c>
      <c r="C81" s="28">
        <f t="shared" si="26"/>
        <v>0.105751507110355</v>
      </c>
      <c r="D81" s="28">
        <f t="shared" si="26"/>
        <v>0.122392786124189</v>
      </c>
      <c r="E81" s="28">
        <f t="shared" si="26"/>
        <v>0.116656280025716</v>
      </c>
      <c r="F81" s="28">
        <f t="shared" si="26"/>
        <v>0.0958763403636136</v>
      </c>
      <c r="G81" s="28">
        <f t="shared" si="26"/>
        <v>0.107362504606881</v>
      </c>
      <c r="H81" s="28">
        <f t="shared" si="26"/>
        <v>0.133021594983261</v>
      </c>
      <c r="I81" s="28">
        <f t="shared" si="26"/>
        <v>0.112092873903029</v>
      </c>
      <c r="J81" s="28"/>
      <c r="K81" s="28"/>
      <c r="L81" s="28"/>
      <c r="M81" s="28"/>
    </row>
    <row r="82" spans="1:13">
      <c r="A82" s="2" t="s">
        <v>540</v>
      </c>
      <c r="B82" s="28">
        <f t="shared" ref="B82:I82" si="27">(B11*(1-B30))/(B56-B48-(B44+B53+B54)-B62)</f>
        <v>0.066398122378111</v>
      </c>
      <c r="C82" s="28">
        <f t="shared" si="27"/>
        <v>0.0809635456406434</v>
      </c>
      <c r="D82" s="28">
        <f t="shared" si="27"/>
        <v>0.0878354418239997</v>
      </c>
      <c r="E82" s="28">
        <f t="shared" si="27"/>
        <v>0.0848914076117132</v>
      </c>
      <c r="F82" s="28">
        <f t="shared" si="27"/>
        <v>0.0750228747467805</v>
      </c>
      <c r="G82" s="28">
        <f t="shared" si="27"/>
        <v>0.0842102604817096</v>
      </c>
      <c r="H82" s="28">
        <f t="shared" si="27"/>
        <v>0.0940595213815536</v>
      </c>
      <c r="I82" s="28">
        <f t="shared" si="27"/>
        <v>0.0854262786676161</v>
      </c>
      <c r="J82" s="28"/>
      <c r="K82" s="28"/>
      <c r="L82" s="28"/>
      <c r="M82" s="28"/>
    </row>
    <row r="83" hidden="1" outlineLevel="1" spans="2:2">
      <c r="B83" s="36"/>
    </row>
    <row r="84" ht="19.25" hidden="1" outlineLevel="1" spans="1:13">
      <c r="A84" s="4" t="s">
        <v>541</v>
      </c>
      <c r="B84" s="5" t="s">
        <v>482</v>
      </c>
      <c r="C84" s="6" t="s">
        <v>483</v>
      </c>
      <c r="D84" s="6" t="s">
        <v>484</v>
      </c>
      <c r="E84" s="6" t="s">
        <v>485</v>
      </c>
      <c r="F84" s="7" t="s">
        <v>486</v>
      </c>
      <c r="G84" s="7" t="s">
        <v>487</v>
      </c>
      <c r="H84" s="7" t="s">
        <v>488</v>
      </c>
      <c r="I84" s="7" t="s">
        <v>489</v>
      </c>
      <c r="J84" s="24" t="s">
        <v>490</v>
      </c>
      <c r="K84" s="24" t="s">
        <v>491</v>
      </c>
      <c r="L84" s="24" t="s">
        <v>492</v>
      </c>
      <c r="M84" s="24" t="s">
        <v>493</v>
      </c>
    </row>
    <row r="85" hidden="1" outlineLevel="1" spans="2:2">
      <c r="B85" s="36"/>
    </row>
    <row r="86" hidden="1" outlineLevel="1" spans="1:2">
      <c r="A86" s="8" t="s">
        <v>542</v>
      </c>
      <c r="B86" s="36"/>
    </row>
    <row r="87" hidden="1" outlineLevel="1" spans="1:13">
      <c r="A87" s="2" t="s">
        <v>543</v>
      </c>
      <c r="B87" s="37">
        <v>933.908</v>
      </c>
      <c r="C87" s="38">
        <f t="shared" ref="C87:M87" si="28">B90</f>
        <v>16.054</v>
      </c>
      <c r="D87" s="39">
        <f t="shared" si="28"/>
        <v>18.8</v>
      </c>
      <c r="E87" s="39">
        <f t="shared" si="28"/>
        <v>15.7</v>
      </c>
      <c r="F87" s="39">
        <f t="shared" si="28"/>
        <v>16.5</v>
      </c>
      <c r="G87" s="39">
        <f t="shared" si="28"/>
        <v>11.6</v>
      </c>
      <c r="H87" s="39">
        <f t="shared" si="28"/>
        <v>12.9</v>
      </c>
      <c r="I87" s="39">
        <f t="shared" si="28"/>
        <v>24.2</v>
      </c>
      <c r="J87" s="27">
        <f t="shared" si="28"/>
        <v>16.319</v>
      </c>
      <c r="K87" s="27">
        <f t="shared" si="28"/>
        <v>0</v>
      </c>
      <c r="L87" s="27" t="e">
        <f t="shared" si="28"/>
        <v>#DIV/0!</v>
      </c>
      <c r="M87" s="27" t="e">
        <f t="shared" si="28"/>
        <v>#DIV/0!</v>
      </c>
    </row>
    <row r="88" hidden="1" outlineLevel="1" spans="1:13">
      <c r="A88" s="2" t="s">
        <v>544</v>
      </c>
      <c r="B88" s="40">
        <f>B90-B87</f>
        <v>-917.854</v>
      </c>
      <c r="C88" s="40">
        <f t="shared" ref="C88:I88" si="29">C90-C87</f>
        <v>2.746</v>
      </c>
      <c r="D88" s="40">
        <f t="shared" si="29"/>
        <v>-3.1</v>
      </c>
      <c r="E88" s="40">
        <f t="shared" si="29"/>
        <v>0.800000000000001</v>
      </c>
      <c r="F88" s="40">
        <f t="shared" si="29"/>
        <v>-4.9</v>
      </c>
      <c r="G88" s="40">
        <f t="shared" si="29"/>
        <v>1.3</v>
      </c>
      <c r="H88" s="40">
        <f t="shared" si="29"/>
        <v>11.3</v>
      </c>
      <c r="I88" s="40">
        <f t="shared" si="29"/>
        <v>-7.881</v>
      </c>
      <c r="J88" s="48">
        <f>J90-J87-J89</f>
        <v>-16.319</v>
      </c>
      <c r="K88" s="48" t="e">
        <f>K90-K87-K89</f>
        <v>#DIV/0!</v>
      </c>
      <c r="L88" s="48" t="e">
        <f>L90-L87-L89</f>
        <v>#DIV/0!</v>
      </c>
      <c r="M88" s="48" t="e">
        <f>M90-M87-M89</f>
        <v>#DIV/0!</v>
      </c>
    </row>
    <row r="89" s="1" customFormat="1" hidden="1" outlineLevel="1" spans="1:13">
      <c r="A89" s="1" t="s">
        <v>545</v>
      </c>
      <c r="B89" s="41"/>
      <c r="C89" s="41"/>
      <c r="D89" s="41"/>
      <c r="E89" s="41"/>
      <c r="F89" s="41"/>
      <c r="G89" s="41"/>
      <c r="H89" s="41"/>
      <c r="I89" s="41"/>
      <c r="J89" s="48">
        <f>-J124</f>
        <v>0</v>
      </c>
      <c r="K89" s="48">
        <f>-K124</f>
        <v>0</v>
      </c>
      <c r="L89" s="48">
        <f>-L124</f>
        <v>0</v>
      </c>
      <c r="M89" s="48">
        <f>-M124</f>
        <v>0</v>
      </c>
    </row>
    <row r="90" hidden="1" outlineLevel="1" spans="1:13">
      <c r="A90" s="2" t="s">
        <v>546</v>
      </c>
      <c r="B90" s="42">
        <f t="shared" ref="B90:I90" si="30">B45</f>
        <v>16.054</v>
      </c>
      <c r="C90" s="42">
        <f t="shared" si="30"/>
        <v>18.8</v>
      </c>
      <c r="D90" s="42">
        <f t="shared" si="30"/>
        <v>15.7</v>
      </c>
      <c r="E90" s="42">
        <f t="shared" si="30"/>
        <v>16.5</v>
      </c>
      <c r="F90" s="42">
        <f t="shared" si="30"/>
        <v>11.6</v>
      </c>
      <c r="G90" s="42">
        <f t="shared" si="30"/>
        <v>12.9</v>
      </c>
      <c r="H90" s="42">
        <f t="shared" si="30"/>
        <v>24.2</v>
      </c>
      <c r="I90" s="42">
        <f t="shared" si="30"/>
        <v>16.319</v>
      </c>
      <c r="J90" s="49">
        <f>I90*(1+J27)</f>
        <v>0</v>
      </c>
      <c r="K90" s="49" t="e">
        <f>J90*(1+K27)</f>
        <v>#DIV/0!</v>
      </c>
      <c r="L90" s="49" t="e">
        <f>K90*(1+L27)</f>
        <v>#DIV/0!</v>
      </c>
      <c r="M90" s="49" t="e">
        <f>L90*(1+M27)</f>
        <v>#DIV/0!</v>
      </c>
    </row>
    <row r="91" hidden="1" outlineLevel="1" spans="1:13">
      <c r="A91" s="2" t="s">
        <v>547</v>
      </c>
      <c r="B91" s="16">
        <f t="shared" ref="B91:I91" si="31">B90/B4</f>
        <v>0.0117353801169591</v>
      </c>
      <c r="C91" s="16">
        <f t="shared" si="31"/>
        <v>0.0131560531840448</v>
      </c>
      <c r="D91" s="16">
        <f t="shared" si="31"/>
        <v>0.010653399452266</v>
      </c>
      <c r="E91" s="16">
        <f t="shared" si="31"/>
        <v>0.0106865284974093</v>
      </c>
      <c r="F91" s="16">
        <f t="shared" si="31"/>
        <v>0.00761504628110024</v>
      </c>
      <c r="G91" s="16">
        <f t="shared" si="31"/>
        <v>0.00814085573646346</v>
      </c>
      <c r="H91" s="16">
        <f t="shared" si="31"/>
        <v>0.0141350268886762</v>
      </c>
      <c r="I91" s="16">
        <f t="shared" si="31"/>
        <v>0.00992374907187193</v>
      </c>
      <c r="J91" s="28">
        <f>J92/365</f>
        <v>0.0107557549035989</v>
      </c>
      <c r="K91" s="28">
        <f>K92/365</f>
        <v>0.0106333017519288</v>
      </c>
      <c r="L91" s="28">
        <f>L92/365</f>
        <v>0.0103179578229144</v>
      </c>
      <c r="M91" s="28">
        <f>M92/365</f>
        <v>0.0102760276192454</v>
      </c>
    </row>
    <row r="92" hidden="1" outlineLevel="1" spans="1:13">
      <c r="A92" s="2" t="s">
        <v>548</v>
      </c>
      <c r="B92" s="43">
        <f>B91*365</f>
        <v>4.28341374269006</v>
      </c>
      <c r="C92" s="43">
        <f t="shared" ref="C92:I92" si="32">C91*365</f>
        <v>4.80195941217635</v>
      </c>
      <c r="D92" s="43">
        <f t="shared" si="32"/>
        <v>3.88849080007708</v>
      </c>
      <c r="E92" s="43">
        <f t="shared" si="32"/>
        <v>3.9005829015544</v>
      </c>
      <c r="F92" s="43">
        <f t="shared" si="32"/>
        <v>2.77949189260159</v>
      </c>
      <c r="G92" s="43">
        <f t="shared" si="32"/>
        <v>2.97141234380916</v>
      </c>
      <c r="H92" s="43">
        <f t="shared" si="32"/>
        <v>5.15928481436679</v>
      </c>
      <c r="I92" s="43">
        <f t="shared" si="32"/>
        <v>3.62216841123325</v>
      </c>
      <c r="J92" s="50">
        <f>AVERAGE(B92:I92)</f>
        <v>3.92585053981359</v>
      </c>
      <c r="K92" s="50">
        <f>AVERAGE(C92:J92)</f>
        <v>3.88115513945403</v>
      </c>
      <c r="L92" s="50">
        <f>AVERAGE(D92:K92)</f>
        <v>3.76605460536374</v>
      </c>
      <c r="M92" s="50">
        <f>AVERAGE(E92:L92)</f>
        <v>3.75075008102457</v>
      </c>
    </row>
    <row r="93" hidden="1" outlineLevel="1" spans="2:9">
      <c r="B93" s="36"/>
      <c r="C93" s="36"/>
      <c r="E93" s="44"/>
      <c r="F93" s="44"/>
      <c r="G93" s="44"/>
      <c r="H93" s="44"/>
      <c r="I93" s="44"/>
    </row>
    <row r="94" hidden="1" outlineLevel="1" spans="1:9">
      <c r="A94" s="8" t="s">
        <v>159</v>
      </c>
      <c r="B94" s="36"/>
      <c r="F94" s="44"/>
      <c r="G94" s="44"/>
      <c r="H94" s="44"/>
      <c r="I94" s="44"/>
    </row>
    <row r="95" hidden="1" outlineLevel="1" spans="1:13">
      <c r="A95" s="2" t="s">
        <v>543</v>
      </c>
      <c r="B95" s="37">
        <v>1779.369</v>
      </c>
      <c r="C95" s="39" t="e">
        <f>B97</f>
        <v>#REF!</v>
      </c>
      <c r="D95" s="39" t="e">
        <f t="shared" ref="D95:M95" si="33">C97</f>
        <v>#REF!</v>
      </c>
      <c r="E95" s="39" t="e">
        <f t="shared" si="33"/>
        <v>#REF!</v>
      </c>
      <c r="F95" s="39" t="e">
        <f t="shared" si="33"/>
        <v>#REF!</v>
      </c>
      <c r="G95" s="39" t="e">
        <f t="shared" si="33"/>
        <v>#REF!</v>
      </c>
      <c r="H95" s="39" t="e">
        <f t="shared" si="33"/>
        <v>#REF!</v>
      </c>
      <c r="I95" s="39" t="e">
        <f t="shared" si="33"/>
        <v>#REF!</v>
      </c>
      <c r="J95" s="27" t="e">
        <f t="shared" si="33"/>
        <v>#REF!</v>
      </c>
      <c r="K95" s="27" t="e">
        <f t="shared" si="33"/>
        <v>#REF!</v>
      </c>
      <c r="L95" s="27" t="e">
        <f t="shared" si="33"/>
        <v>#REF!</v>
      </c>
      <c r="M95" s="27" t="e">
        <f t="shared" si="33"/>
        <v>#REF!</v>
      </c>
    </row>
    <row r="96" hidden="1" outlineLevel="1" spans="1:13">
      <c r="A96" s="2" t="s">
        <v>544</v>
      </c>
      <c r="B96" s="45" t="e">
        <f>B97-B95</f>
        <v>#REF!</v>
      </c>
      <c r="C96" s="45" t="e">
        <f t="shared" ref="C96:M96" si="34">C97-C95</f>
        <v>#REF!</v>
      </c>
      <c r="D96" s="45" t="e">
        <f t="shared" si="34"/>
        <v>#REF!</v>
      </c>
      <c r="E96" s="45" t="e">
        <f t="shared" si="34"/>
        <v>#REF!</v>
      </c>
      <c r="F96" s="45" t="e">
        <f t="shared" si="34"/>
        <v>#REF!</v>
      </c>
      <c r="G96" s="45" t="e">
        <f t="shared" si="34"/>
        <v>#REF!</v>
      </c>
      <c r="H96" s="45" t="e">
        <f t="shared" si="34"/>
        <v>#REF!</v>
      </c>
      <c r="I96" s="45" t="e">
        <f t="shared" si="34"/>
        <v>#REF!</v>
      </c>
      <c r="J96" s="29" t="e">
        <f t="shared" si="34"/>
        <v>#REF!</v>
      </c>
      <c r="K96" s="29" t="e">
        <f t="shared" si="34"/>
        <v>#REF!</v>
      </c>
      <c r="L96" s="29" t="e">
        <f t="shared" si="34"/>
        <v>#REF!</v>
      </c>
      <c r="M96" s="29" t="e">
        <f t="shared" si="34"/>
        <v>#REF!</v>
      </c>
    </row>
    <row r="97" hidden="1" outlineLevel="1" spans="1:13">
      <c r="A97" s="2" t="s">
        <v>546</v>
      </c>
      <c r="B97" s="45" t="e">
        <f>#REF!</f>
        <v>#REF!</v>
      </c>
      <c r="C97" s="45" t="e">
        <f>#REF!</f>
        <v>#REF!</v>
      </c>
      <c r="D97" s="45" t="e">
        <f>#REF!</f>
        <v>#REF!</v>
      </c>
      <c r="E97" s="45" t="e">
        <f>#REF!</f>
        <v>#REF!</v>
      </c>
      <c r="F97" s="45" t="e">
        <f>#REF!</f>
        <v>#REF!</v>
      </c>
      <c r="G97" s="45" t="e">
        <f>#REF!</f>
        <v>#REF!</v>
      </c>
      <c r="H97" s="45" t="e">
        <f>#REF!</f>
        <v>#REF!</v>
      </c>
      <c r="I97" s="45" t="e">
        <f>#REF!</f>
        <v>#REF!</v>
      </c>
      <c r="J97" s="29" t="e">
        <f>J98*-J5</f>
        <v>#REF!</v>
      </c>
      <c r="K97" s="29" t="e">
        <f>K98*-K5</f>
        <v>#REF!</v>
      </c>
      <c r="L97" s="29" t="e">
        <f>L98*-L5</f>
        <v>#REF!</v>
      </c>
      <c r="M97" s="29" t="e">
        <f>M98*-M5</f>
        <v>#REF!</v>
      </c>
    </row>
    <row r="98" hidden="1" outlineLevel="1" spans="1:13">
      <c r="A98" s="2" t="s">
        <v>549</v>
      </c>
      <c r="B98" s="46" t="e">
        <f t="shared" ref="B98:I98" si="35">B97/-B5</f>
        <v>#REF!</v>
      </c>
      <c r="C98" s="46" t="e">
        <f t="shared" si="35"/>
        <v>#REF!</v>
      </c>
      <c r="D98" s="46" t="e">
        <f t="shared" si="35"/>
        <v>#REF!</v>
      </c>
      <c r="E98" s="46" t="e">
        <f t="shared" si="35"/>
        <v>#REF!</v>
      </c>
      <c r="F98" s="46" t="e">
        <f t="shared" si="35"/>
        <v>#REF!</v>
      </c>
      <c r="G98" s="46" t="e">
        <f t="shared" si="35"/>
        <v>#REF!</v>
      </c>
      <c r="H98" s="46" t="e">
        <f t="shared" si="35"/>
        <v>#REF!</v>
      </c>
      <c r="I98" s="46" t="e">
        <f t="shared" si="35"/>
        <v>#REF!</v>
      </c>
      <c r="J98" s="28" t="e">
        <f>AVERAGE(B98:I98)</f>
        <v>#REF!</v>
      </c>
      <c r="K98" s="28" t="e">
        <f>AVERAGE(C98:J98)</f>
        <v>#REF!</v>
      </c>
      <c r="L98" s="28" t="e">
        <f>AVERAGE(D98:K98)</f>
        <v>#REF!</v>
      </c>
      <c r="M98" s="28" t="e">
        <f>AVERAGE(E98:L98)</f>
        <v>#REF!</v>
      </c>
    </row>
    <row r="99" hidden="1" outlineLevel="1" spans="1:13">
      <c r="A99" s="2" t="s">
        <v>550</v>
      </c>
      <c r="B99" s="16" t="e">
        <f t="shared" ref="B99:M99" si="36">-B5/B97</f>
        <v>#REF!</v>
      </c>
      <c r="C99" s="16" t="e">
        <f t="shared" si="36"/>
        <v>#REF!</v>
      </c>
      <c r="D99" s="16" t="e">
        <f t="shared" si="36"/>
        <v>#REF!</v>
      </c>
      <c r="E99" s="16" t="e">
        <f t="shared" si="36"/>
        <v>#REF!</v>
      </c>
      <c r="F99" s="16" t="e">
        <f t="shared" si="36"/>
        <v>#REF!</v>
      </c>
      <c r="G99" s="16" t="e">
        <f t="shared" si="36"/>
        <v>#REF!</v>
      </c>
      <c r="H99" s="16" t="e">
        <f t="shared" si="36"/>
        <v>#REF!</v>
      </c>
      <c r="I99" s="16" t="e">
        <f t="shared" si="36"/>
        <v>#REF!</v>
      </c>
      <c r="J99" s="28" t="e">
        <f t="shared" si="36"/>
        <v>#REF!</v>
      </c>
      <c r="K99" s="28" t="e">
        <f t="shared" si="36"/>
        <v>#REF!</v>
      </c>
      <c r="L99" s="28" t="e">
        <f t="shared" si="36"/>
        <v>#REF!</v>
      </c>
      <c r="M99" s="28" t="e">
        <f t="shared" si="36"/>
        <v>#REF!</v>
      </c>
    </row>
    <row r="100" hidden="1" outlineLevel="1"/>
    <row r="101" hidden="1" outlineLevel="1" spans="1:9">
      <c r="A101" s="8" t="s">
        <v>219</v>
      </c>
      <c r="B101" s="36"/>
      <c r="E101" s="44"/>
      <c r="F101" s="44"/>
      <c r="G101" s="44"/>
      <c r="H101" s="44"/>
      <c r="I101" s="44"/>
    </row>
    <row r="102" hidden="1" outlineLevel="1" spans="1:13">
      <c r="A102" s="2" t="s">
        <v>543</v>
      </c>
      <c r="B102" s="36"/>
      <c r="C102" s="38">
        <f>B104</f>
        <v>203.4</v>
      </c>
      <c r="D102" s="38">
        <f t="shared" ref="D102:M102" si="37">C104</f>
        <v>210.7</v>
      </c>
      <c r="E102" s="38">
        <f t="shared" si="37"/>
        <v>225.6</v>
      </c>
      <c r="F102" s="38">
        <f t="shared" si="37"/>
        <v>214.5</v>
      </c>
      <c r="G102" s="38">
        <f t="shared" si="37"/>
        <v>217.6</v>
      </c>
      <c r="H102" s="38">
        <f t="shared" si="37"/>
        <v>221.9</v>
      </c>
      <c r="I102" s="38">
        <f t="shared" si="37"/>
        <v>253.3</v>
      </c>
      <c r="J102" s="49">
        <f t="shared" si="37"/>
        <v>234.435</v>
      </c>
      <c r="K102" s="49">
        <f t="shared" si="37"/>
        <v>0</v>
      </c>
      <c r="L102" s="49">
        <f t="shared" si="37"/>
        <v>0</v>
      </c>
      <c r="M102" s="49">
        <f t="shared" si="37"/>
        <v>0</v>
      </c>
    </row>
    <row r="103" hidden="1" outlineLevel="1" spans="1:13">
      <c r="A103" s="2" t="s">
        <v>544</v>
      </c>
      <c r="B103" s="36"/>
      <c r="C103" s="38">
        <f>C104-C102</f>
        <v>7.29999999999998</v>
      </c>
      <c r="D103" s="38">
        <f t="shared" ref="D103:M103" si="38">D104-D102</f>
        <v>14.9</v>
      </c>
      <c r="E103" s="38">
        <f t="shared" si="38"/>
        <v>-11.1</v>
      </c>
      <c r="F103" s="38">
        <f t="shared" si="38"/>
        <v>3.09999999999999</v>
      </c>
      <c r="G103" s="38">
        <f t="shared" si="38"/>
        <v>4.30000000000001</v>
      </c>
      <c r="H103" s="38">
        <f t="shared" si="38"/>
        <v>31.4</v>
      </c>
      <c r="I103" s="38">
        <f t="shared" si="38"/>
        <v>-18.865</v>
      </c>
      <c r="J103" s="49">
        <f t="shared" si="38"/>
        <v>-234.435</v>
      </c>
      <c r="K103" s="49">
        <f t="shared" si="38"/>
        <v>0</v>
      </c>
      <c r="L103" s="49">
        <f t="shared" si="38"/>
        <v>0</v>
      </c>
      <c r="M103" s="49">
        <f t="shared" si="38"/>
        <v>0</v>
      </c>
    </row>
    <row r="104" hidden="1" outlineLevel="1" spans="1:13">
      <c r="A104" s="2" t="s">
        <v>546</v>
      </c>
      <c r="B104" s="42">
        <f t="shared" ref="B104:M104" si="39">B54</f>
        <v>203.4</v>
      </c>
      <c r="C104" s="42">
        <f t="shared" si="39"/>
        <v>210.7</v>
      </c>
      <c r="D104" s="42">
        <f t="shared" si="39"/>
        <v>225.6</v>
      </c>
      <c r="E104" s="42">
        <f t="shared" si="39"/>
        <v>214.5</v>
      </c>
      <c r="F104" s="42">
        <f t="shared" si="39"/>
        <v>217.6</v>
      </c>
      <c r="G104" s="42">
        <f t="shared" si="39"/>
        <v>221.9</v>
      </c>
      <c r="H104" s="42">
        <f t="shared" si="39"/>
        <v>253.3</v>
      </c>
      <c r="I104" s="42">
        <f t="shared" si="39"/>
        <v>234.435</v>
      </c>
      <c r="J104" s="49">
        <f t="shared" si="39"/>
        <v>0</v>
      </c>
      <c r="K104" s="49">
        <f t="shared" si="39"/>
        <v>0</v>
      </c>
      <c r="L104" s="49">
        <f t="shared" si="39"/>
        <v>0</v>
      </c>
      <c r="M104" s="49">
        <f t="shared" si="39"/>
        <v>0</v>
      </c>
    </row>
    <row r="105" hidden="1" outlineLevel="1" spans="2:9">
      <c r="B105" s="36"/>
      <c r="E105" s="44"/>
      <c r="F105" s="44"/>
      <c r="G105" s="44"/>
      <c r="H105" s="44"/>
      <c r="I105" s="44"/>
    </row>
    <row r="106" hidden="1" outlineLevel="1" spans="1:9">
      <c r="A106" s="8" t="s">
        <v>551</v>
      </c>
      <c r="B106" s="36"/>
      <c r="E106" s="44"/>
      <c r="F106" s="44"/>
      <c r="G106" s="44"/>
      <c r="H106" s="44"/>
      <c r="I106" s="44"/>
    </row>
    <row r="107" hidden="1" outlineLevel="1" spans="1:13">
      <c r="A107" s="2" t="s">
        <v>543</v>
      </c>
      <c r="B107" s="36"/>
      <c r="C107" s="38" t="e">
        <f>B109</f>
        <v>#REF!</v>
      </c>
      <c r="D107" s="38" t="e">
        <f t="shared" ref="D107:M107" si="40">C109</f>
        <v>#REF!</v>
      </c>
      <c r="E107" s="38" t="e">
        <f t="shared" si="40"/>
        <v>#REF!</v>
      </c>
      <c r="F107" s="38" t="e">
        <f t="shared" si="40"/>
        <v>#REF!</v>
      </c>
      <c r="G107" s="38" t="e">
        <f t="shared" si="40"/>
        <v>#REF!</v>
      </c>
      <c r="H107" s="38" t="e">
        <f t="shared" si="40"/>
        <v>#REF!</v>
      </c>
      <c r="I107" s="38" t="e">
        <f t="shared" si="40"/>
        <v>#REF!</v>
      </c>
      <c r="J107" s="49" t="e">
        <f t="shared" si="40"/>
        <v>#REF!</v>
      </c>
      <c r="K107" s="49" t="e">
        <f t="shared" si="40"/>
        <v>#REF!</v>
      </c>
      <c r="L107" s="49" t="e">
        <f t="shared" si="40"/>
        <v>#REF!</v>
      </c>
      <c r="M107" s="49" t="e">
        <f t="shared" si="40"/>
        <v>#REF!</v>
      </c>
    </row>
    <row r="108" hidden="1" outlineLevel="1" spans="1:13">
      <c r="A108" s="2" t="s">
        <v>544</v>
      </c>
      <c r="B108" s="36"/>
      <c r="C108" s="38" t="e">
        <f>C109-C107</f>
        <v>#REF!</v>
      </c>
      <c r="D108" s="38" t="e">
        <f t="shared" ref="D108:M108" si="41">D109-D107</f>
        <v>#REF!</v>
      </c>
      <c r="E108" s="38" t="e">
        <f t="shared" si="41"/>
        <v>#REF!</v>
      </c>
      <c r="F108" s="38" t="e">
        <f t="shared" si="41"/>
        <v>#REF!</v>
      </c>
      <c r="G108" s="38" t="e">
        <f t="shared" si="41"/>
        <v>#REF!</v>
      </c>
      <c r="H108" s="38" t="e">
        <f t="shared" si="41"/>
        <v>#REF!</v>
      </c>
      <c r="I108" s="38" t="e">
        <f t="shared" si="41"/>
        <v>#REF!</v>
      </c>
      <c r="J108" s="49" t="e">
        <f t="shared" si="41"/>
        <v>#REF!</v>
      </c>
      <c r="K108" s="49" t="e">
        <f t="shared" si="41"/>
        <v>#REF!</v>
      </c>
      <c r="L108" s="49" t="e">
        <f t="shared" si="41"/>
        <v>#REF!</v>
      </c>
      <c r="M108" s="49" t="e">
        <f t="shared" si="41"/>
        <v>#REF!</v>
      </c>
    </row>
    <row r="109" hidden="1" outlineLevel="1" spans="1:13">
      <c r="A109" s="2" t="s">
        <v>546</v>
      </c>
      <c r="B109" s="42" t="e">
        <f>#REF!</f>
        <v>#REF!</v>
      </c>
      <c r="C109" s="42" t="e">
        <f>#REF!</f>
        <v>#REF!</v>
      </c>
      <c r="D109" s="42" t="e">
        <f>#REF!</f>
        <v>#REF!</v>
      </c>
      <c r="E109" s="42" t="e">
        <f>#REF!</f>
        <v>#REF!</v>
      </c>
      <c r="F109" s="42" t="e">
        <f>#REF!</f>
        <v>#REF!</v>
      </c>
      <c r="G109" s="42" t="e">
        <f>#REF!</f>
        <v>#REF!</v>
      </c>
      <c r="H109" s="42" t="e">
        <f>#REF!</f>
        <v>#REF!</v>
      </c>
      <c r="I109" s="42" t="e">
        <f>#REF!</f>
        <v>#REF!</v>
      </c>
      <c r="J109" s="49" t="e">
        <f>J110*-J5</f>
        <v>#REF!</v>
      </c>
      <c r="K109" s="49" t="e">
        <f>K110*-K5</f>
        <v>#REF!</v>
      </c>
      <c r="L109" s="49" t="e">
        <f>L110*-L5</f>
        <v>#REF!</v>
      </c>
      <c r="M109" s="49" t="e">
        <f>M110*-M5</f>
        <v>#REF!</v>
      </c>
    </row>
    <row r="110" hidden="1" outlineLevel="1" spans="1:13">
      <c r="A110" s="2" t="s">
        <v>552</v>
      </c>
      <c r="B110" s="16" t="e">
        <f t="shared" ref="B110:I110" si="42">B109/-B5</f>
        <v>#REF!</v>
      </c>
      <c r="C110" s="16" t="e">
        <f t="shared" si="42"/>
        <v>#REF!</v>
      </c>
      <c r="D110" s="16" t="e">
        <f t="shared" si="42"/>
        <v>#REF!</v>
      </c>
      <c r="E110" s="16" t="e">
        <f t="shared" si="42"/>
        <v>#REF!</v>
      </c>
      <c r="F110" s="16" t="e">
        <f t="shared" si="42"/>
        <v>#REF!</v>
      </c>
      <c r="G110" s="16" t="e">
        <f t="shared" si="42"/>
        <v>#REF!</v>
      </c>
      <c r="H110" s="16" t="e">
        <f t="shared" si="42"/>
        <v>#REF!</v>
      </c>
      <c r="I110" s="16" t="e">
        <f t="shared" si="42"/>
        <v>#REF!</v>
      </c>
      <c r="J110" s="28" t="e">
        <f>J111/365</f>
        <v>#REF!</v>
      </c>
      <c r="K110" s="28" t="e">
        <f>K111/365</f>
        <v>#REF!</v>
      </c>
      <c r="L110" s="28" t="e">
        <f>L111/365</f>
        <v>#REF!</v>
      </c>
      <c r="M110" s="28" t="e">
        <f>M111/365</f>
        <v>#REF!</v>
      </c>
    </row>
    <row r="111" hidden="1" outlineLevel="1" spans="1:13">
      <c r="A111" s="2" t="s">
        <v>553</v>
      </c>
      <c r="B111" s="43" t="e">
        <f t="shared" ref="B111:I111" si="43">B110*365</f>
        <v>#REF!</v>
      </c>
      <c r="C111" s="43" t="e">
        <f t="shared" si="43"/>
        <v>#REF!</v>
      </c>
      <c r="D111" s="43" t="e">
        <f t="shared" si="43"/>
        <v>#REF!</v>
      </c>
      <c r="E111" s="43" t="e">
        <f t="shared" si="43"/>
        <v>#REF!</v>
      </c>
      <c r="F111" s="43" t="e">
        <f t="shared" si="43"/>
        <v>#REF!</v>
      </c>
      <c r="G111" s="43" t="e">
        <f t="shared" si="43"/>
        <v>#REF!</v>
      </c>
      <c r="H111" s="43" t="e">
        <f t="shared" si="43"/>
        <v>#REF!</v>
      </c>
      <c r="I111" s="43" t="e">
        <f t="shared" si="43"/>
        <v>#REF!</v>
      </c>
      <c r="J111" s="50" t="e">
        <f>AVERAGE(B111:I111)</f>
        <v>#REF!</v>
      </c>
      <c r="K111" s="50" t="e">
        <f>AVERAGE(C111:J111)</f>
        <v>#REF!</v>
      </c>
      <c r="L111" s="50" t="e">
        <f>AVERAGE(D111:K111)</f>
        <v>#REF!</v>
      </c>
      <c r="M111" s="50" t="e">
        <f>AVERAGE(E111:L111)</f>
        <v>#REF!</v>
      </c>
    </row>
    <row r="112" hidden="1" outlineLevel="1"/>
    <row r="113" hidden="1" outlineLevel="1" spans="1:9">
      <c r="A113" s="8" t="s">
        <v>554</v>
      </c>
      <c r="B113" s="36"/>
      <c r="E113" s="44"/>
      <c r="F113" s="44"/>
      <c r="G113" s="44"/>
      <c r="H113" s="44"/>
      <c r="I113" s="44"/>
    </row>
    <row r="114" hidden="1" outlineLevel="1" spans="1:13">
      <c r="A114" s="47" t="s">
        <v>543</v>
      </c>
      <c r="B114" s="36"/>
      <c r="C114" s="38" t="e">
        <f>B116</f>
        <v>#REF!</v>
      </c>
      <c r="D114" s="38" t="e">
        <f t="shared" ref="D114:M114" si="44">C116</f>
        <v>#REF!</v>
      </c>
      <c r="E114" s="38" t="e">
        <f t="shared" si="44"/>
        <v>#REF!</v>
      </c>
      <c r="F114" s="38" t="e">
        <f t="shared" si="44"/>
        <v>#REF!</v>
      </c>
      <c r="G114" s="38" t="e">
        <f t="shared" si="44"/>
        <v>#REF!</v>
      </c>
      <c r="H114" s="38" t="e">
        <f t="shared" si="44"/>
        <v>#REF!</v>
      </c>
      <c r="I114" s="38" t="e">
        <f t="shared" si="44"/>
        <v>#REF!</v>
      </c>
      <c r="J114" s="49" t="e">
        <f t="shared" si="44"/>
        <v>#REF!</v>
      </c>
      <c r="K114" s="49" t="e">
        <f t="shared" si="44"/>
        <v>#REF!</v>
      </c>
      <c r="L114" s="49" t="e">
        <f t="shared" si="44"/>
        <v>#REF!</v>
      </c>
      <c r="M114" s="49" t="e">
        <f t="shared" si="44"/>
        <v>#REF!</v>
      </c>
    </row>
    <row r="115" hidden="1" outlineLevel="1" spans="1:13">
      <c r="A115" s="47" t="s">
        <v>544</v>
      </c>
      <c r="B115" s="36"/>
      <c r="C115" s="38" t="e">
        <f>C116-C114</f>
        <v>#REF!</v>
      </c>
      <c r="D115" s="38" t="e">
        <f t="shared" ref="D115:M115" si="45">D116-D114</f>
        <v>#REF!</v>
      </c>
      <c r="E115" s="38" t="e">
        <f t="shared" si="45"/>
        <v>#REF!</v>
      </c>
      <c r="F115" s="38" t="e">
        <f t="shared" si="45"/>
        <v>#REF!</v>
      </c>
      <c r="G115" s="38" t="e">
        <f t="shared" si="45"/>
        <v>#REF!</v>
      </c>
      <c r="H115" s="38" t="e">
        <f t="shared" si="45"/>
        <v>#REF!</v>
      </c>
      <c r="I115" s="38" t="e">
        <f t="shared" si="45"/>
        <v>#REF!</v>
      </c>
      <c r="J115" s="49" t="e">
        <f t="shared" si="45"/>
        <v>#REF!</v>
      </c>
      <c r="K115" s="49" t="e">
        <f t="shared" si="45"/>
        <v>#REF!</v>
      </c>
      <c r="L115" s="49" t="e">
        <f t="shared" si="45"/>
        <v>#REF!</v>
      </c>
      <c r="M115" s="49" t="e">
        <f t="shared" si="45"/>
        <v>#REF!</v>
      </c>
    </row>
    <row r="116" hidden="1" outlineLevel="1" spans="1:13">
      <c r="A116" s="47" t="s">
        <v>546</v>
      </c>
      <c r="B116" s="42" t="e">
        <f>#REF!</f>
        <v>#REF!</v>
      </c>
      <c r="C116" s="42" t="e">
        <f>#REF!</f>
        <v>#REF!</v>
      </c>
      <c r="D116" s="42" t="e">
        <f>#REF!</f>
        <v>#REF!</v>
      </c>
      <c r="E116" s="42" t="e">
        <f>#REF!</f>
        <v>#REF!</v>
      </c>
      <c r="F116" s="42" t="e">
        <f>#REF!</f>
        <v>#REF!</v>
      </c>
      <c r="G116" s="42" t="e">
        <f>#REF!</f>
        <v>#REF!</v>
      </c>
      <c r="H116" s="42" t="e">
        <f>#REF!</f>
        <v>#REF!</v>
      </c>
      <c r="I116" s="42" t="e">
        <f>#REF!</f>
        <v>#REF!</v>
      </c>
      <c r="J116" s="49" t="e">
        <f>AVERAGE(B116:I116)</f>
        <v>#REF!</v>
      </c>
      <c r="K116" s="49" t="e">
        <f>AVERAGE(C116:J116)</f>
        <v>#REF!</v>
      </c>
      <c r="L116" s="49" t="e">
        <f>AVERAGE(D116:K116)</f>
        <v>#REF!</v>
      </c>
      <c r="M116" s="49" t="e">
        <f>AVERAGE(E116:L116)</f>
        <v>#REF!</v>
      </c>
    </row>
    <row r="117" hidden="1" outlineLevel="1"/>
    <row r="118" outlineLevel="1"/>
    <row r="119" outlineLevel="1"/>
    <row r="120" ht="19.25" spans="1:13">
      <c r="A120" s="4" t="s">
        <v>265</v>
      </c>
      <c r="B120" s="5" t="s">
        <v>482</v>
      </c>
      <c r="C120" s="6" t="s">
        <v>483</v>
      </c>
      <c r="D120" s="6" t="s">
        <v>484</v>
      </c>
      <c r="E120" s="6" t="s">
        <v>485</v>
      </c>
      <c r="F120" s="7" t="s">
        <v>486</v>
      </c>
      <c r="G120" s="7" t="s">
        <v>487</v>
      </c>
      <c r="H120" s="7" t="s">
        <v>488</v>
      </c>
      <c r="I120" s="7" t="s">
        <v>489</v>
      </c>
      <c r="J120" s="24" t="s">
        <v>490</v>
      </c>
      <c r="K120" s="24" t="s">
        <v>491</v>
      </c>
      <c r="L120" s="24" t="s">
        <v>492</v>
      </c>
      <c r="M120" s="24" t="s">
        <v>493</v>
      </c>
    </row>
    <row r="122" spans="1:13">
      <c r="A122" s="2" t="s">
        <v>501</v>
      </c>
      <c r="B122" s="40">
        <v>280.815</v>
      </c>
      <c r="C122" s="32">
        <v>380.652</v>
      </c>
      <c r="D122" s="32">
        <v>428.717</v>
      </c>
      <c r="E122" s="40">
        <v>425.2</v>
      </c>
      <c r="F122" s="32">
        <v>367.785</v>
      </c>
      <c r="G122" s="32">
        <f>352.214+88.054</f>
        <v>440.268</v>
      </c>
      <c r="H122" s="32">
        <f>765.496+185.431-G122</f>
        <v>510.659</v>
      </c>
      <c r="I122" s="40">
        <f>1140.409+276.248-(765.496+185.431)</f>
        <v>465.73</v>
      </c>
      <c r="J122" s="29"/>
      <c r="K122" s="29"/>
      <c r="L122" s="29"/>
      <c r="M122" s="29"/>
    </row>
    <row r="123" spans="1:13">
      <c r="A123" s="2" t="s">
        <v>555</v>
      </c>
      <c r="B123" s="40">
        <v>171.006</v>
      </c>
      <c r="C123" s="32">
        <v>151.843</v>
      </c>
      <c r="D123" s="32">
        <v>151.797</v>
      </c>
      <c r="E123" s="40">
        <v>172.608</v>
      </c>
      <c r="F123" s="32">
        <f>662.305-476.248</f>
        <v>186.057</v>
      </c>
      <c r="G123" s="32">
        <v>162.804</v>
      </c>
      <c r="H123" s="32">
        <f>321.148-162.804</f>
        <v>158.344</v>
      </c>
      <c r="I123" s="40">
        <f>492.413-321.148</f>
        <v>171.265</v>
      </c>
      <c r="J123" s="29"/>
      <c r="K123" s="29"/>
      <c r="L123" s="29"/>
      <c r="M123" s="29"/>
    </row>
    <row r="124" spans="1:13">
      <c r="A124" s="2" t="s">
        <v>556</v>
      </c>
      <c r="B124" s="40">
        <v>14.507</v>
      </c>
      <c r="C124" s="32">
        <v>17.334</v>
      </c>
      <c r="D124" s="32">
        <v>11.78</v>
      </c>
      <c r="E124" s="40">
        <v>16.952</v>
      </c>
      <c r="F124" s="32">
        <f>64.834-46.066</f>
        <v>18.768</v>
      </c>
      <c r="G124" s="32">
        <v>13.8</v>
      </c>
      <c r="H124" s="32">
        <f>26.243-13.8</f>
        <v>12.443</v>
      </c>
      <c r="I124" s="40">
        <f>58.364-26.243</f>
        <v>32.121</v>
      </c>
      <c r="J124" s="29"/>
      <c r="K124" s="29"/>
      <c r="L124" s="29"/>
      <c r="M124" s="29"/>
    </row>
    <row r="125" spans="1:13">
      <c r="A125" s="2" t="s">
        <v>498</v>
      </c>
      <c r="B125" s="40">
        <v>-1.057</v>
      </c>
      <c r="C125" s="32">
        <v>-1.57</v>
      </c>
      <c r="D125" s="32">
        <v>-1.468</v>
      </c>
      <c r="E125" s="40">
        <v>-1.235</v>
      </c>
      <c r="F125" s="32">
        <f>-6.137--4.273</f>
        <v>-1.864</v>
      </c>
      <c r="G125" s="32">
        <v>-1.516</v>
      </c>
      <c r="H125" s="32">
        <f>-3.447--1.516</f>
        <v>-1.931</v>
      </c>
      <c r="I125" s="40">
        <f>-5.643--3.447</f>
        <v>-2.196</v>
      </c>
      <c r="J125" s="29"/>
      <c r="K125" s="29"/>
      <c r="L125" s="29"/>
      <c r="M125" s="29"/>
    </row>
    <row r="126" spans="1:13">
      <c r="A126" s="2" t="s">
        <v>557</v>
      </c>
      <c r="B126" s="40">
        <v>17.916</v>
      </c>
      <c r="C126" s="32">
        <v>4.267</v>
      </c>
      <c r="D126" s="32">
        <v>8.29</v>
      </c>
      <c r="E126" s="40">
        <v>-2.084</v>
      </c>
      <c r="F126" s="32">
        <f>15.015-10.473</f>
        <v>4.542</v>
      </c>
      <c r="G126" s="32">
        <f>-32.086+33.892</f>
        <v>1.806</v>
      </c>
      <c r="H126" s="32">
        <f>-67.287+69.56-G126</f>
        <v>0.466999999999992</v>
      </c>
      <c r="I126" s="40">
        <f>-97.902+101.062-(-67.287+69.56)</f>
        <v>0.887</v>
      </c>
      <c r="J126" s="29"/>
      <c r="K126" s="29"/>
      <c r="L126" s="29"/>
      <c r="M126" s="29"/>
    </row>
    <row r="127" spans="1:13">
      <c r="A127" s="2" t="s">
        <v>558</v>
      </c>
      <c r="B127" s="40">
        <v>22.315</v>
      </c>
      <c r="C127" s="32">
        <v>15.923</v>
      </c>
      <c r="D127" s="32">
        <v>27.197</v>
      </c>
      <c r="E127" s="40">
        <v>14.631</v>
      </c>
      <c r="F127" s="32">
        <f>79.813-57.751</f>
        <v>22.062</v>
      </c>
      <c r="G127" s="32">
        <v>25.237</v>
      </c>
      <c r="H127" s="32">
        <f>65.094-25.237</f>
        <v>39.857</v>
      </c>
      <c r="I127" s="40">
        <f>71.376-65.094</f>
        <v>6.28200000000001</v>
      </c>
      <c r="J127" s="29"/>
      <c r="K127" s="29"/>
      <c r="L127" s="29"/>
      <c r="M127" s="29"/>
    </row>
    <row r="128" spans="1:13">
      <c r="A128" s="2" t="s">
        <v>559</v>
      </c>
      <c r="B128" s="40">
        <v>-48.077</v>
      </c>
      <c r="C128" s="21">
        <v>-100.856</v>
      </c>
      <c r="D128" s="21">
        <v>-150.586</v>
      </c>
      <c r="E128" s="29">
        <v>1.45</v>
      </c>
      <c r="F128" s="21">
        <f>-309.564--249.992</f>
        <v>-59.572</v>
      </c>
      <c r="G128" s="21">
        <v>-52.311</v>
      </c>
      <c r="H128" s="21">
        <f>-157.218--52.311</f>
        <v>-104.907</v>
      </c>
      <c r="I128" s="29">
        <f>-110.98--157.218</f>
        <v>46.238</v>
      </c>
      <c r="J128" s="29"/>
      <c r="K128" s="29"/>
      <c r="L128" s="29"/>
      <c r="M128" s="29"/>
    </row>
    <row r="129" spans="1:13">
      <c r="A129" s="2" t="s">
        <v>560</v>
      </c>
      <c r="B129" s="29">
        <v>5.259</v>
      </c>
      <c r="C129" s="32">
        <v>-54.238</v>
      </c>
      <c r="D129" s="32">
        <v>-30.667</v>
      </c>
      <c r="E129" s="40">
        <v>14.541</v>
      </c>
      <c r="F129" s="32">
        <f>-33.381--70.364</f>
        <v>36.983</v>
      </c>
      <c r="G129" s="32">
        <v>-104.171</v>
      </c>
      <c r="H129" s="32">
        <f>-71.608--104.171</f>
        <v>32.563</v>
      </c>
      <c r="I129" s="40">
        <f>-33.73--71.608</f>
        <v>37.878</v>
      </c>
      <c r="J129" s="29"/>
      <c r="K129" s="29"/>
      <c r="L129" s="29"/>
      <c r="M129" s="29"/>
    </row>
    <row r="130" spans="1:13">
      <c r="A130" s="2" t="s">
        <v>561</v>
      </c>
      <c r="B130" s="40">
        <v>158.362</v>
      </c>
      <c r="C130" s="32">
        <v>-35.528</v>
      </c>
      <c r="D130" s="32">
        <v>84.392</v>
      </c>
      <c r="E130" s="40">
        <v>-130.26</v>
      </c>
      <c r="F130" s="32">
        <f>43.277--81.396</f>
        <v>124.673</v>
      </c>
      <c r="G130" s="32">
        <v>-27.487</v>
      </c>
      <c r="H130" s="32">
        <f>10.691--27.487</f>
        <v>38.178</v>
      </c>
      <c r="I130" s="40">
        <f>-65.736-10.691</f>
        <v>-76.427</v>
      </c>
      <c r="J130" s="29"/>
      <c r="K130" s="29"/>
      <c r="L130" s="29"/>
      <c r="M130" s="29"/>
    </row>
    <row r="131" spans="1:13">
      <c r="A131" s="2" t="s">
        <v>562</v>
      </c>
      <c r="B131" s="40">
        <v>-46.882</v>
      </c>
      <c r="C131" s="32">
        <v>-27.58</v>
      </c>
      <c r="D131" s="32">
        <v>-29.044</v>
      </c>
      <c r="E131" s="40">
        <v>-31.943</v>
      </c>
      <c r="F131" s="32">
        <f>-107.247--88.567</f>
        <v>-18.68</v>
      </c>
      <c r="G131" s="32">
        <v>-18.662</v>
      </c>
      <c r="H131" s="32">
        <f>-72.943--18.662</f>
        <v>-54.281</v>
      </c>
      <c r="I131" s="40">
        <f>-106.412--72.943</f>
        <v>-33.469</v>
      </c>
      <c r="J131" s="29"/>
      <c r="K131" s="29"/>
      <c r="L131" s="29"/>
      <c r="M131" s="29"/>
    </row>
    <row r="132" spans="1:13">
      <c r="A132" s="2" t="s">
        <v>563</v>
      </c>
      <c r="B132" s="40">
        <v>-13.715</v>
      </c>
      <c r="C132" s="32">
        <v>62.071</v>
      </c>
      <c r="D132" s="32">
        <v>-41.993</v>
      </c>
      <c r="E132" s="40">
        <v>33.216</v>
      </c>
      <c r="F132" s="32">
        <f>48.642-53.294</f>
        <v>-4.65199999999999</v>
      </c>
      <c r="G132" s="32">
        <v>77.617</v>
      </c>
      <c r="H132" s="32">
        <f>-46.917-77.617</f>
        <v>-124.534</v>
      </c>
      <c r="I132" s="40">
        <f>-51.99--46.917</f>
        <v>-5.073</v>
      </c>
      <c r="J132" s="29"/>
      <c r="K132" s="29"/>
      <c r="L132" s="29"/>
      <c r="M132" s="29"/>
    </row>
    <row r="133" spans="1:13">
      <c r="A133" s="2" t="s">
        <v>564</v>
      </c>
      <c r="B133" s="40">
        <v>-5.144</v>
      </c>
      <c r="C133" s="32">
        <v>5.888</v>
      </c>
      <c r="D133" s="32">
        <v>8.289</v>
      </c>
      <c r="E133" s="40">
        <v>8.189</v>
      </c>
      <c r="F133" s="32">
        <f>32.432-22.366</f>
        <v>10.066</v>
      </c>
      <c r="G133" s="32">
        <v>11.317</v>
      </c>
      <c r="H133" s="32">
        <f>23.74-11.317</f>
        <v>12.423</v>
      </c>
      <c r="I133" s="40">
        <f>36.344-23.74</f>
        <v>12.604</v>
      </c>
      <c r="J133" s="29"/>
      <c r="K133" s="29"/>
      <c r="L133" s="29"/>
      <c r="M133" s="29"/>
    </row>
    <row r="134" spans="1:13">
      <c r="A134" s="2" t="s">
        <v>565</v>
      </c>
      <c r="B134" s="40">
        <v>-13.05</v>
      </c>
      <c r="C134" s="32">
        <v>-21.145</v>
      </c>
      <c r="D134" s="32">
        <v>-32.006</v>
      </c>
      <c r="E134" s="40">
        <v>-12.246</v>
      </c>
      <c r="F134" s="32">
        <f>-83.243--65.397</f>
        <v>-17.846</v>
      </c>
      <c r="G134" s="32">
        <v>-16.974</v>
      </c>
      <c r="H134" s="32">
        <f>-39.019--16.974</f>
        <v>-22.045</v>
      </c>
      <c r="I134" s="40">
        <f>-51.173--39.019</f>
        <v>-12.154</v>
      </c>
      <c r="J134" s="29"/>
      <c r="K134" s="29"/>
      <c r="L134" s="29"/>
      <c r="M134" s="29"/>
    </row>
    <row r="135" spans="1:13">
      <c r="A135" s="2" t="s">
        <v>566</v>
      </c>
      <c r="B135" s="40">
        <v>-111.031</v>
      </c>
      <c r="C135" s="32">
        <v>-3.517</v>
      </c>
      <c r="D135" s="32">
        <v>-140.227</v>
      </c>
      <c r="E135" s="40">
        <v>-7.926</v>
      </c>
      <c r="F135" s="32">
        <f>-292.463--151.67</f>
        <v>-140.793</v>
      </c>
      <c r="G135" s="32">
        <v>-7.027</v>
      </c>
      <c r="H135" s="32">
        <f>-188.548--7.027</f>
        <v>-181.521</v>
      </c>
      <c r="I135" s="40">
        <f>-221.013--188.548</f>
        <v>-32.465</v>
      </c>
      <c r="J135" s="29"/>
      <c r="K135" s="29"/>
      <c r="L135" s="29"/>
      <c r="M135" s="29"/>
    </row>
    <row r="136" spans="1:13">
      <c r="A136" s="2" t="s">
        <v>130</v>
      </c>
      <c r="B136" s="40"/>
      <c r="C136" s="32"/>
      <c r="D136" s="32"/>
      <c r="E136" s="40"/>
      <c r="F136" s="32"/>
      <c r="G136" s="32"/>
      <c r="H136" s="32"/>
      <c r="I136" s="40"/>
      <c r="J136" s="29"/>
      <c r="K136" s="29"/>
      <c r="L136" s="29"/>
      <c r="M136" s="29"/>
    </row>
    <row r="137" spans="1:13">
      <c r="A137" s="8" t="s">
        <v>567</v>
      </c>
      <c r="B137" s="51">
        <f t="shared" ref="B137:M137" si="46">SUM(B122:B135)</f>
        <v>431.224</v>
      </c>
      <c r="C137" s="51">
        <f t="shared" si="46"/>
        <v>393.544</v>
      </c>
      <c r="D137" s="51">
        <f t="shared" si="46"/>
        <v>294.471</v>
      </c>
      <c r="E137" s="51">
        <f t="shared" si="46"/>
        <v>501.093</v>
      </c>
      <c r="F137" s="51">
        <f t="shared" si="46"/>
        <v>527.529</v>
      </c>
      <c r="G137" s="51">
        <f t="shared" si="46"/>
        <v>504.701</v>
      </c>
      <c r="H137" s="51">
        <f t="shared" si="46"/>
        <v>315.715</v>
      </c>
      <c r="I137" s="51">
        <f t="shared" si="46"/>
        <v>611.221</v>
      </c>
      <c r="J137" s="22">
        <f t="shared" si="46"/>
        <v>0</v>
      </c>
      <c r="K137" s="22">
        <f t="shared" si="46"/>
        <v>0</v>
      </c>
      <c r="L137" s="22">
        <f t="shared" si="46"/>
        <v>0</v>
      </c>
      <c r="M137" s="22">
        <f t="shared" si="46"/>
        <v>0</v>
      </c>
    </row>
    <row r="138" spans="2:13">
      <c r="B138" s="40"/>
      <c r="C138" s="40"/>
      <c r="D138" s="40"/>
      <c r="E138" s="40"/>
      <c r="F138" s="40"/>
      <c r="G138" s="40"/>
      <c r="H138" s="40"/>
      <c r="I138" s="40"/>
      <c r="J138" s="29"/>
      <c r="K138" s="29"/>
      <c r="L138" s="29"/>
      <c r="M138" s="29"/>
    </row>
    <row r="139" spans="1:13">
      <c r="A139" s="2" t="s">
        <v>568</v>
      </c>
      <c r="B139" s="32">
        <f>-347.725--186.928</f>
        <v>-160.797</v>
      </c>
      <c r="C139" s="32">
        <v>-41.616</v>
      </c>
      <c r="D139" s="32">
        <f>-115.567--41.616</f>
        <v>-73.951</v>
      </c>
      <c r="E139" s="32">
        <f>-211.575--115.567</f>
        <v>-96.008</v>
      </c>
      <c r="F139" s="32">
        <f>-487.148--211.575</f>
        <v>-275.573</v>
      </c>
      <c r="G139" s="32">
        <v>-81.826</v>
      </c>
      <c r="H139" s="32">
        <f>-216.78--81.826</f>
        <v>-134.954</v>
      </c>
      <c r="I139" s="32">
        <f>-341.662--216.78</f>
        <v>-124.882</v>
      </c>
      <c r="J139" s="29"/>
      <c r="K139" s="29"/>
      <c r="L139" s="29"/>
      <c r="M139" s="29"/>
    </row>
    <row r="140" spans="1:13">
      <c r="A140" s="2" t="s">
        <v>569</v>
      </c>
      <c r="B140" s="32">
        <f>-456.894--308.322</f>
        <v>-148.572</v>
      </c>
      <c r="C140" s="32">
        <v>-108.392</v>
      </c>
      <c r="D140" s="32">
        <f>-232.85--108.392</f>
        <v>-124.458</v>
      </c>
      <c r="E140" s="32">
        <f>-341.609--232.85</f>
        <v>-108.759</v>
      </c>
      <c r="F140" s="32">
        <f>-381.762--341.609</f>
        <v>-40.153</v>
      </c>
      <c r="G140" s="32">
        <v>-112.754</v>
      </c>
      <c r="H140" s="32">
        <f>-246.175--112.754</f>
        <v>-133.421</v>
      </c>
      <c r="I140" s="32">
        <f>-370.411--246.175</f>
        <v>-124.236</v>
      </c>
      <c r="J140" s="29"/>
      <c r="K140" s="29"/>
      <c r="L140" s="29"/>
      <c r="M140" s="29"/>
    </row>
    <row r="141" spans="1:13">
      <c r="A141" s="2" t="s">
        <v>570</v>
      </c>
      <c r="B141" s="32">
        <f>-1.367--1.367</f>
        <v>0</v>
      </c>
      <c r="C141" s="32">
        <v>0</v>
      </c>
      <c r="D141" s="32">
        <v>0</v>
      </c>
      <c r="E141" s="32">
        <v>0</v>
      </c>
      <c r="F141" s="32">
        <v>0</v>
      </c>
      <c r="G141" s="32">
        <v>0</v>
      </c>
      <c r="H141" s="32">
        <v>0</v>
      </c>
      <c r="I141" s="32">
        <v>0</v>
      </c>
      <c r="J141" s="29"/>
      <c r="K141" s="29"/>
      <c r="L141" s="29"/>
      <c r="M141" s="29"/>
    </row>
    <row r="142" spans="1:13">
      <c r="A142" s="2" t="s">
        <v>571</v>
      </c>
      <c r="B142" s="32">
        <f>0.578-0.245</f>
        <v>0.333</v>
      </c>
      <c r="C142" s="32">
        <v>1.121</v>
      </c>
      <c r="D142" s="32">
        <f>1.177-1.121</f>
        <v>0.056</v>
      </c>
      <c r="E142" s="32">
        <f>2.383-1.177</f>
        <v>1.206</v>
      </c>
      <c r="F142" s="32">
        <f>2.458-2.383</f>
        <v>0.0750000000000002</v>
      </c>
      <c r="G142" s="32">
        <v>0.027</v>
      </c>
      <c r="H142" s="32">
        <f>0.14-0.027</f>
        <v>0.113</v>
      </c>
      <c r="I142" s="32">
        <f>0.206-0.14</f>
        <v>0.066</v>
      </c>
      <c r="J142" s="29"/>
      <c r="K142" s="29"/>
      <c r="L142" s="29"/>
      <c r="M142" s="29"/>
    </row>
    <row r="143" spans="1:13">
      <c r="A143" s="2" t="s">
        <v>572</v>
      </c>
      <c r="B143" s="32">
        <v>0</v>
      </c>
      <c r="C143" s="32">
        <v>0</v>
      </c>
      <c r="D143" s="32">
        <v>0</v>
      </c>
      <c r="E143" s="32">
        <v>0</v>
      </c>
      <c r="F143" s="32">
        <v>0</v>
      </c>
      <c r="G143" s="32">
        <v>0.463</v>
      </c>
      <c r="H143" s="32">
        <f>0.463-0.463</f>
        <v>0</v>
      </c>
      <c r="I143" s="32">
        <f>0.463-0.463</f>
        <v>0</v>
      </c>
      <c r="J143" s="29"/>
      <c r="K143" s="29"/>
      <c r="L143" s="29"/>
      <c r="M143" s="29"/>
    </row>
    <row r="144" spans="1:13">
      <c r="A144" s="52" t="s">
        <v>573</v>
      </c>
      <c r="B144" s="51">
        <f t="shared" ref="B144:I144" si="47">SUM(B139:B143)</f>
        <v>-309.036</v>
      </c>
      <c r="C144" s="51">
        <f t="shared" si="47"/>
        <v>-148.887</v>
      </c>
      <c r="D144" s="51">
        <f t="shared" si="47"/>
        <v>-198.353</v>
      </c>
      <c r="E144" s="51">
        <f t="shared" si="47"/>
        <v>-203.561</v>
      </c>
      <c r="F144" s="51">
        <f t="shared" si="47"/>
        <v>-315.651</v>
      </c>
      <c r="G144" s="51">
        <f t="shared" si="47"/>
        <v>-194.09</v>
      </c>
      <c r="H144" s="51">
        <f t="shared" si="47"/>
        <v>-268.262</v>
      </c>
      <c r="I144" s="51">
        <f t="shared" si="47"/>
        <v>-249.052</v>
      </c>
      <c r="J144" s="74"/>
      <c r="K144" s="74"/>
      <c r="L144" s="74"/>
      <c r="M144" s="74"/>
    </row>
    <row r="146" spans="1:9">
      <c r="A146" s="2" t="s">
        <v>574</v>
      </c>
      <c r="B146" s="32">
        <v>0</v>
      </c>
      <c r="C146" s="32">
        <v>-384.605</v>
      </c>
      <c r="D146" s="32">
        <f>-384.605--384.605</f>
        <v>0</v>
      </c>
      <c r="E146" s="32">
        <f>-575.702--384.605</f>
        <v>-191.097</v>
      </c>
      <c r="F146" s="32">
        <f>-575.702--575.702</f>
        <v>0</v>
      </c>
      <c r="G146" s="32">
        <v>0</v>
      </c>
      <c r="H146" s="32">
        <f>496.145</f>
        <v>496.145</v>
      </c>
      <c r="I146" s="32">
        <f>496.145-496.145</f>
        <v>0</v>
      </c>
    </row>
    <row r="147" spans="1:9">
      <c r="A147" s="2" t="s">
        <v>575</v>
      </c>
      <c r="B147" s="32">
        <f>146.1-125.39</f>
        <v>20.71</v>
      </c>
      <c r="C147" s="32">
        <v>53.188</v>
      </c>
      <c r="D147" s="32">
        <f>61.095-53.188</f>
        <v>7.907</v>
      </c>
      <c r="E147" s="32">
        <f>91.538-61.095</f>
        <v>30.443</v>
      </c>
      <c r="F147" s="32">
        <f>151.217-49.611-91.538</f>
        <v>10.068</v>
      </c>
      <c r="G147" s="32">
        <f>36.144-13.053</f>
        <v>23.091</v>
      </c>
      <c r="H147" s="32">
        <f>77.356-13.053-(36.144-13.053)</f>
        <v>41.212</v>
      </c>
      <c r="I147" s="32">
        <f>119.724-15.094-(77.356-13.053)</f>
        <v>40.327</v>
      </c>
    </row>
    <row r="148" spans="1:9">
      <c r="A148" s="2" t="s">
        <v>576</v>
      </c>
      <c r="B148" s="32">
        <f>11.241-4.075</f>
        <v>7.166</v>
      </c>
      <c r="C148" s="32">
        <v>-6.891</v>
      </c>
      <c r="D148" s="32">
        <f>-17.807--6.891</f>
        <v>-10.916</v>
      </c>
      <c r="E148" s="32">
        <f>-4.935--17.807</f>
        <v>12.872</v>
      </c>
      <c r="F148" s="32">
        <f>34.596-35.566--4.935</f>
        <v>3.96499999999999</v>
      </c>
      <c r="G148" s="32">
        <f>18.752-13.217</f>
        <v>5.535</v>
      </c>
      <c r="H148" s="32">
        <f>21.699-33.833-(18.752-13.217)</f>
        <v>-17.669</v>
      </c>
      <c r="I148" s="32">
        <f>32.333-35.825-(21.699-33.833)</f>
        <v>8.64199999999999</v>
      </c>
    </row>
    <row r="149" spans="1:9">
      <c r="A149" s="2" t="s">
        <v>577</v>
      </c>
      <c r="B149" s="32">
        <f>-46.091--33.586</f>
        <v>-12.505</v>
      </c>
      <c r="C149" s="32">
        <v>250</v>
      </c>
      <c r="D149" s="32">
        <f>229.167-250</f>
        <v>-20.833</v>
      </c>
      <c r="E149" s="32">
        <f>250-51.666-229.167</f>
        <v>-30.833</v>
      </c>
      <c r="F149" s="32">
        <f>250-72.5-(250-51.666)</f>
        <v>-20.834</v>
      </c>
      <c r="G149" s="32">
        <f>75-30.833</f>
        <v>44.167</v>
      </c>
      <c r="H149" s="32">
        <f>75-65.539-(75-30.833)</f>
        <v>-34.706</v>
      </c>
      <c r="I149" s="32">
        <f>75-96.372-(75-65.539)</f>
        <v>-30.833</v>
      </c>
    </row>
    <row r="150" spans="1:9">
      <c r="A150" s="2" t="s">
        <v>578</v>
      </c>
      <c r="B150" s="32">
        <f>-16.5--11.775</f>
        <v>-4.725</v>
      </c>
      <c r="C150" s="32">
        <v>-4.251</v>
      </c>
      <c r="D150" s="32">
        <f>-8.418--4.251</f>
        <v>-4.167</v>
      </c>
      <c r="E150" s="32">
        <f>-12.923--8.418</f>
        <v>-4.505</v>
      </c>
      <c r="F150" s="32">
        <f>-17.691--12.923</f>
        <v>-4.768</v>
      </c>
      <c r="G150" s="32">
        <v>-3.889</v>
      </c>
      <c r="H150" s="32">
        <f>-10.12--3.889</f>
        <v>-6.231</v>
      </c>
      <c r="I150" s="32">
        <f>-15.361--10.12</f>
        <v>-5.241</v>
      </c>
    </row>
    <row r="151" spans="1:9">
      <c r="A151" s="2" t="s">
        <v>579</v>
      </c>
      <c r="B151" s="32">
        <f>-249.522--248.488</f>
        <v>-1.03399999999999</v>
      </c>
      <c r="C151" s="32">
        <v>0</v>
      </c>
      <c r="D151" s="32">
        <v>-307.466</v>
      </c>
      <c r="E151" s="32">
        <f>-327.415--307.466</f>
        <v>-19.949</v>
      </c>
      <c r="F151" s="32">
        <f>-328.631--327.415</f>
        <v>-1.21599999999995</v>
      </c>
      <c r="G151" s="32">
        <v>0</v>
      </c>
      <c r="H151" s="32">
        <f>-413.525</f>
        <v>-413.525</v>
      </c>
      <c r="I151" s="32">
        <f>-438.117--413.525</f>
        <v>-24.592</v>
      </c>
    </row>
    <row r="152" spans="1:9">
      <c r="A152" s="2" t="s">
        <v>580</v>
      </c>
      <c r="B152" s="32">
        <f>-2.266--2.266</f>
        <v>0</v>
      </c>
      <c r="C152" s="32">
        <v>0</v>
      </c>
      <c r="D152" s="32">
        <v>-4.89</v>
      </c>
      <c r="E152" s="32">
        <f>-4.89--4.89</f>
        <v>0</v>
      </c>
      <c r="F152" s="32">
        <f>-4.89--4.89</f>
        <v>0</v>
      </c>
      <c r="G152" s="32">
        <v>0</v>
      </c>
      <c r="H152" s="32">
        <v>0</v>
      </c>
      <c r="I152" s="32">
        <f>-4.788</f>
        <v>-4.788</v>
      </c>
    </row>
    <row r="153" spans="1:9">
      <c r="A153" s="2" t="s">
        <v>581</v>
      </c>
      <c r="B153" s="32">
        <f>-396.522--301.202</f>
        <v>-95.32</v>
      </c>
      <c r="C153" s="32">
        <v>-96.765</v>
      </c>
      <c r="D153" s="32">
        <f>-179.59--96.765</f>
        <v>-82.825</v>
      </c>
      <c r="E153" s="32">
        <f>-374.399--179.59</f>
        <v>-194.809</v>
      </c>
      <c r="F153" s="32">
        <f>-460.629--374.399</f>
        <v>-86.23</v>
      </c>
      <c r="G153" s="32">
        <v>-136.317</v>
      </c>
      <c r="H153" s="32">
        <f>-283.772--136.317</f>
        <v>-147.455</v>
      </c>
      <c r="I153" s="32">
        <f>-430.562--283.772</f>
        <v>-146.79</v>
      </c>
    </row>
    <row r="154" spans="1:9">
      <c r="A154" s="8" t="s">
        <v>582</v>
      </c>
      <c r="B154" s="51">
        <f t="shared" ref="B154:I154" si="48">SUM(B146:B153)</f>
        <v>-85.708</v>
      </c>
      <c r="C154" s="51">
        <f t="shared" si="48"/>
        <v>-189.324</v>
      </c>
      <c r="D154" s="51">
        <f t="shared" si="48"/>
        <v>-423.19</v>
      </c>
      <c r="E154" s="51">
        <f t="shared" si="48"/>
        <v>-397.878</v>
      </c>
      <c r="F154" s="51">
        <f t="shared" si="48"/>
        <v>-99.015</v>
      </c>
      <c r="G154" s="51">
        <f t="shared" si="48"/>
        <v>-67.413</v>
      </c>
      <c r="H154" s="51">
        <f t="shared" si="48"/>
        <v>-82.229</v>
      </c>
      <c r="I154" s="51">
        <f t="shared" si="48"/>
        <v>-163.275</v>
      </c>
    </row>
    <row r="155" spans="2:9">
      <c r="B155" s="40"/>
      <c r="C155" s="32"/>
      <c r="D155" s="32"/>
      <c r="E155" s="32"/>
      <c r="F155" s="32"/>
      <c r="G155" s="32"/>
      <c r="H155" s="32"/>
      <c r="I155" s="32"/>
    </row>
    <row r="156" spans="1:9">
      <c r="A156" s="2" t="s">
        <v>583</v>
      </c>
      <c r="B156" s="32">
        <f>0.383-10.777</f>
        <v>-10.394</v>
      </c>
      <c r="C156" s="32">
        <v>-3.097</v>
      </c>
      <c r="D156" s="32">
        <f>-6.721--3.097</f>
        <v>-3.624</v>
      </c>
      <c r="E156" s="2">
        <f>-4.372--6.721</f>
        <v>2.349</v>
      </c>
      <c r="F156" s="32">
        <f>-7.698--4.372</f>
        <v>-3.326</v>
      </c>
      <c r="G156" s="32">
        <v>1.044</v>
      </c>
      <c r="H156" s="32">
        <f>1.728-1.044</f>
        <v>0.684</v>
      </c>
      <c r="I156" s="32">
        <f>0.607-1.728</f>
        <v>-1.121</v>
      </c>
    </row>
    <row r="157" spans="2:9">
      <c r="B157" s="40"/>
      <c r="C157" s="32"/>
      <c r="D157" s="32"/>
      <c r="E157" s="32"/>
      <c r="F157" s="32"/>
      <c r="G157" s="32"/>
      <c r="H157" s="32"/>
      <c r="I157" s="32"/>
    </row>
    <row r="158" spans="1:9">
      <c r="A158" s="8" t="s">
        <v>584</v>
      </c>
      <c r="B158" s="51">
        <f t="shared" ref="B158:I158" si="49">B137+B144+B154+B156</f>
        <v>26.0860000000001</v>
      </c>
      <c r="C158" s="51">
        <f t="shared" si="49"/>
        <v>52.2359999999999</v>
      </c>
      <c r="D158" s="51">
        <f t="shared" si="49"/>
        <v>-330.696</v>
      </c>
      <c r="E158" s="51">
        <f t="shared" si="49"/>
        <v>-97.9969999999998</v>
      </c>
      <c r="F158" s="51">
        <f t="shared" si="49"/>
        <v>109.537</v>
      </c>
      <c r="G158" s="51">
        <f t="shared" si="49"/>
        <v>244.242</v>
      </c>
      <c r="H158" s="51">
        <f t="shared" si="49"/>
        <v>-34.092</v>
      </c>
      <c r="I158" s="51">
        <f t="shared" si="49"/>
        <v>197.773</v>
      </c>
    </row>
    <row r="159" spans="1:9">
      <c r="A159" s="8" t="s">
        <v>585</v>
      </c>
      <c r="B159" s="51">
        <v>1388.901</v>
      </c>
      <c r="C159" s="51">
        <f t="shared" ref="C159:I159" si="50">B159+C158</f>
        <v>1441.137</v>
      </c>
      <c r="D159" s="51">
        <f t="shared" si="50"/>
        <v>1110.441</v>
      </c>
      <c r="E159" s="51">
        <f t="shared" si="50"/>
        <v>1012.444</v>
      </c>
      <c r="F159" s="51">
        <f t="shared" si="50"/>
        <v>1121.981</v>
      </c>
      <c r="G159" s="51">
        <f t="shared" si="50"/>
        <v>1366.223</v>
      </c>
      <c r="H159" s="51">
        <f t="shared" si="50"/>
        <v>1332.131</v>
      </c>
      <c r="I159" s="51">
        <f t="shared" si="50"/>
        <v>1529.904</v>
      </c>
    </row>
    <row r="161" ht="19.25" spans="1:13">
      <c r="A161" s="53" t="s">
        <v>586</v>
      </c>
      <c r="B161" s="5" t="s">
        <v>482</v>
      </c>
      <c r="C161" s="6" t="s">
        <v>483</v>
      </c>
      <c r="D161" s="6" t="s">
        <v>484</v>
      </c>
      <c r="E161" s="6" t="s">
        <v>485</v>
      </c>
      <c r="F161" s="7" t="s">
        <v>486</v>
      </c>
      <c r="G161" s="7" t="s">
        <v>487</v>
      </c>
      <c r="H161" s="7" t="s">
        <v>488</v>
      </c>
      <c r="I161" s="7" t="s">
        <v>489</v>
      </c>
      <c r="J161" s="24" t="s">
        <v>490</v>
      </c>
      <c r="K161" s="24" t="s">
        <v>491</v>
      </c>
      <c r="L161" s="24" t="s">
        <v>492</v>
      </c>
      <c r="M161" s="24" t="s">
        <v>493</v>
      </c>
    </row>
    <row r="162" spans="1:13">
      <c r="A162" s="54"/>
      <c r="B162" s="55"/>
      <c r="C162" s="56"/>
      <c r="D162" s="56"/>
      <c r="E162" s="56"/>
      <c r="F162" s="57"/>
      <c r="G162" s="57"/>
      <c r="H162" s="57"/>
      <c r="I162" s="57"/>
      <c r="J162" s="20"/>
      <c r="K162" s="20"/>
      <c r="L162" s="20"/>
      <c r="M162" s="20"/>
    </row>
    <row r="163" spans="1:9">
      <c r="A163" s="58" t="s">
        <v>587</v>
      </c>
      <c r="B163" s="58"/>
      <c r="C163" s="58"/>
      <c r="D163" s="58"/>
      <c r="E163" s="3"/>
      <c r="F163" s="3"/>
      <c r="G163" s="18"/>
      <c r="H163" s="18"/>
      <c r="I163" s="18"/>
    </row>
    <row r="164" spans="1:13">
      <c r="A164" s="59" t="s">
        <v>588</v>
      </c>
      <c r="B164" s="28">
        <f>B28</f>
        <v>0.468859649122807</v>
      </c>
      <c r="C164" s="28">
        <f t="shared" ref="C164:I164" si="51">C28</f>
        <v>0.502449265220434</v>
      </c>
      <c r="D164" s="28">
        <f t="shared" si="51"/>
        <v>0.507153384523936</v>
      </c>
      <c r="E164" s="28">
        <f t="shared" si="51"/>
        <v>0.495660621761658</v>
      </c>
      <c r="F164" s="28">
        <f t="shared" si="51"/>
        <v>0.488019431497407</v>
      </c>
      <c r="G164" s="28">
        <f t="shared" si="51"/>
        <v>0.506752492742648</v>
      </c>
      <c r="H164" s="28">
        <f t="shared" si="51"/>
        <v>0.499689555091267</v>
      </c>
      <c r="I164" s="28">
        <f t="shared" si="51"/>
        <v>0.497047929415442</v>
      </c>
      <c r="J164" s="28"/>
      <c r="K164" s="28"/>
      <c r="L164" s="28"/>
      <c r="M164" s="28"/>
    </row>
    <row r="165" spans="1:13">
      <c r="A165" s="59" t="s">
        <v>589</v>
      </c>
      <c r="B165" s="28">
        <f>B31</f>
        <v>0.162061403508772</v>
      </c>
      <c r="C165" s="28">
        <f t="shared" ref="C165:I165" si="52">C31</f>
        <v>0.266340097970609</v>
      </c>
      <c r="D165" s="28">
        <f t="shared" si="52"/>
        <v>0.290910411017651</v>
      </c>
      <c r="E165" s="28">
        <f t="shared" si="52"/>
        <v>0.275388601036269</v>
      </c>
      <c r="F165" s="28">
        <f t="shared" si="52"/>
        <v>0.241383837720738</v>
      </c>
      <c r="G165" s="28">
        <f t="shared" si="52"/>
        <v>0.277858134544996</v>
      </c>
      <c r="H165" s="28">
        <f t="shared" si="52"/>
        <v>0.298271846939854</v>
      </c>
      <c r="I165" s="28">
        <f t="shared" si="52"/>
        <v>0.283215126860893</v>
      </c>
      <c r="J165" s="28"/>
      <c r="K165" s="28"/>
      <c r="L165" s="28"/>
      <c r="M165" s="28"/>
    </row>
    <row r="166" spans="1:13">
      <c r="A166" s="59" t="s">
        <v>590</v>
      </c>
      <c r="B166" s="28">
        <f>B11/B4</f>
        <v>0.218347953216374</v>
      </c>
      <c r="C166" s="28">
        <f t="shared" ref="C166:I166" si="53">C11/C4</f>
        <v>0.269349195241428</v>
      </c>
      <c r="D166" s="28">
        <f t="shared" si="53"/>
        <v>0.296535677352637</v>
      </c>
      <c r="E166" s="28">
        <f t="shared" si="53"/>
        <v>0.274028497409326</v>
      </c>
      <c r="F166" s="28">
        <f t="shared" si="53"/>
        <v>0.244337950502199</v>
      </c>
      <c r="G166" s="28">
        <f t="shared" si="53"/>
        <v>0.2789978543481</v>
      </c>
      <c r="H166" s="28">
        <f t="shared" si="53"/>
        <v>0.298544617913284</v>
      </c>
      <c r="I166" s="28">
        <f t="shared" si="53"/>
        <v>0.283754520538615</v>
      </c>
      <c r="J166" s="28"/>
      <c r="K166" s="28"/>
      <c r="L166" s="28"/>
      <c r="M166" s="28"/>
    </row>
    <row r="167" spans="1:13">
      <c r="A167" s="59" t="s">
        <v>591</v>
      </c>
      <c r="B167" s="28">
        <f>B38/B4</f>
        <v>0.343347953216374</v>
      </c>
      <c r="C167" s="28">
        <f t="shared" ref="C167:I167" si="54">C38/C4</f>
        <v>0.375717284814556</v>
      </c>
      <c r="D167" s="28">
        <f t="shared" si="54"/>
        <v>0.399676869501964</v>
      </c>
      <c r="E167" s="28">
        <f t="shared" si="54"/>
        <v>0.385427461139896</v>
      </c>
      <c r="F167" s="28">
        <f t="shared" si="54"/>
        <v>0.3664412788026</v>
      </c>
      <c r="G167" s="28">
        <f t="shared" si="54"/>
        <v>0.381862930708065</v>
      </c>
      <c r="H167" s="28">
        <f t="shared" si="54"/>
        <v>0.390831157103815</v>
      </c>
      <c r="I167" s="28">
        <f t="shared" si="54"/>
        <v>0.387741351305825</v>
      </c>
      <c r="J167" s="28"/>
      <c r="K167" s="28"/>
      <c r="L167" s="28"/>
      <c r="M167" s="28"/>
    </row>
    <row r="168" spans="1:13">
      <c r="A168" s="59"/>
      <c r="B168" s="60"/>
      <c r="C168" s="60"/>
      <c r="D168" s="60"/>
      <c r="E168" s="3"/>
      <c r="F168" s="3"/>
      <c r="G168" s="61"/>
      <c r="H168" s="61"/>
      <c r="I168" s="61"/>
      <c r="J168" s="61"/>
      <c r="K168" s="61"/>
      <c r="L168" s="61"/>
      <c r="M168" s="61"/>
    </row>
    <row r="169" spans="1:13">
      <c r="A169" s="62" t="s">
        <v>592</v>
      </c>
      <c r="B169" s="62"/>
      <c r="C169" s="62"/>
      <c r="D169" s="62"/>
      <c r="E169" s="3"/>
      <c r="F169" s="3"/>
      <c r="G169" s="63"/>
      <c r="H169" s="63"/>
      <c r="I169" s="63"/>
      <c r="J169" s="63"/>
      <c r="K169" s="63"/>
      <c r="L169" s="63"/>
      <c r="M169" s="63"/>
    </row>
    <row r="170" spans="1:13">
      <c r="A170" s="59" t="s">
        <v>593</v>
      </c>
      <c r="B170" s="28">
        <f>B81</f>
        <v>0.0851877454142903</v>
      </c>
      <c r="C170" s="28">
        <f t="shared" ref="C170:I170" si="55">C81</f>
        <v>0.105751507110355</v>
      </c>
      <c r="D170" s="28">
        <f t="shared" si="55"/>
        <v>0.122392786124189</v>
      </c>
      <c r="E170" s="28">
        <f t="shared" si="55"/>
        <v>0.116656280025716</v>
      </c>
      <c r="F170" s="28">
        <f t="shared" si="55"/>
        <v>0.0958763403636136</v>
      </c>
      <c r="G170" s="28">
        <f t="shared" si="55"/>
        <v>0.107362504606881</v>
      </c>
      <c r="H170" s="28">
        <f t="shared" si="55"/>
        <v>0.133021594983261</v>
      </c>
      <c r="I170" s="28">
        <f t="shared" si="55"/>
        <v>0.112092873903029</v>
      </c>
      <c r="J170" s="28"/>
      <c r="K170" s="28"/>
      <c r="L170" s="28"/>
      <c r="M170" s="28"/>
    </row>
    <row r="171" spans="1:13">
      <c r="A171" s="59" t="s">
        <v>254</v>
      </c>
      <c r="B171" s="28">
        <f>B82</f>
        <v>0.066398122378111</v>
      </c>
      <c r="C171" s="28">
        <f t="shared" ref="C171:I171" si="56">C82</f>
        <v>0.0809635456406434</v>
      </c>
      <c r="D171" s="28">
        <f t="shared" si="56"/>
        <v>0.0878354418239997</v>
      </c>
      <c r="E171" s="28">
        <f t="shared" si="56"/>
        <v>0.0848914076117132</v>
      </c>
      <c r="F171" s="28">
        <f t="shared" si="56"/>
        <v>0.0750228747467805</v>
      </c>
      <c r="G171" s="28">
        <f t="shared" si="56"/>
        <v>0.0842102604817096</v>
      </c>
      <c r="H171" s="28">
        <f t="shared" si="56"/>
        <v>0.0940595213815536</v>
      </c>
      <c r="I171" s="28">
        <f t="shared" si="56"/>
        <v>0.0854262786676161</v>
      </c>
      <c r="J171" s="28"/>
      <c r="K171" s="28"/>
      <c r="L171" s="28"/>
      <c r="M171" s="28"/>
    </row>
    <row r="172" spans="1:13">
      <c r="A172" s="59" t="s">
        <v>594</v>
      </c>
      <c r="B172" s="64" t="str">
        <f t="shared" ref="B172:I172" si="57">B27</f>
        <v>N/A</v>
      </c>
      <c r="C172" s="64">
        <f t="shared" si="57"/>
        <v>0.0445906432748537</v>
      </c>
      <c r="D172" s="64">
        <f t="shared" si="57"/>
        <v>0.0312862141357593</v>
      </c>
      <c r="E172" s="64">
        <f t="shared" si="57"/>
        <v>0.0476973728852663</v>
      </c>
      <c r="F172" s="64">
        <f t="shared" si="57"/>
        <v>-0.0134067357512954</v>
      </c>
      <c r="G172" s="64">
        <f t="shared" si="57"/>
        <v>0.0402415807785728</v>
      </c>
      <c r="H172" s="64">
        <f t="shared" si="57"/>
        <v>0.0804360721948758</v>
      </c>
      <c r="I172" s="64">
        <f t="shared" si="57"/>
        <v>-0.0394963024054661</v>
      </c>
      <c r="J172" s="28"/>
      <c r="K172" s="28"/>
      <c r="L172" s="28"/>
      <c r="M172" s="28"/>
    </row>
    <row r="173" spans="1:13">
      <c r="A173" s="59" t="s">
        <v>595</v>
      </c>
      <c r="B173" s="61" t="str">
        <f t="shared" ref="B173:I173" si="58">IFERROR(B11/A11-1,"N/A")</f>
        <v>N/A</v>
      </c>
      <c r="C173" s="28">
        <f t="shared" si="58"/>
        <v>0.288583863408102</v>
      </c>
      <c r="D173" s="28">
        <f t="shared" si="58"/>
        <v>0.135378020265004</v>
      </c>
      <c r="E173" s="28">
        <f t="shared" si="58"/>
        <v>-0.0318232888718032</v>
      </c>
      <c r="F173" s="28">
        <f t="shared" si="58"/>
        <v>-0.120302528952966</v>
      </c>
      <c r="G173" s="28">
        <f t="shared" si="58"/>
        <v>0.187802256851155</v>
      </c>
      <c r="H173" s="28">
        <f t="shared" si="58"/>
        <v>0.156132096810676</v>
      </c>
      <c r="I173" s="28">
        <f t="shared" si="58"/>
        <v>-0.0870802894002647</v>
      </c>
      <c r="J173" s="28"/>
      <c r="K173" s="28"/>
      <c r="L173" s="28"/>
      <c r="M173" s="28"/>
    </row>
    <row r="174" spans="1:13">
      <c r="A174" s="59" t="s">
        <v>16</v>
      </c>
      <c r="B174" s="65">
        <f t="shared" ref="B174:I174" si="59">B4</f>
        <v>1368</v>
      </c>
      <c r="C174" s="65">
        <f t="shared" si="59"/>
        <v>1429</v>
      </c>
      <c r="D174" s="65">
        <f t="shared" si="59"/>
        <v>1473.708</v>
      </c>
      <c r="E174" s="65">
        <f t="shared" si="59"/>
        <v>1544</v>
      </c>
      <c r="F174" s="65">
        <f t="shared" si="59"/>
        <v>1523.3</v>
      </c>
      <c r="G174" s="65">
        <f t="shared" si="59"/>
        <v>1584.6</v>
      </c>
      <c r="H174" s="65">
        <f t="shared" si="59"/>
        <v>1712.059</v>
      </c>
      <c r="I174" s="65">
        <f t="shared" si="59"/>
        <v>1644.439</v>
      </c>
      <c r="J174" s="65"/>
      <c r="K174" s="65"/>
      <c r="L174" s="65"/>
      <c r="M174" s="65"/>
    </row>
    <row r="175" spans="1:13">
      <c r="A175" s="2" t="s">
        <v>596</v>
      </c>
      <c r="B175" s="65">
        <f>B17</f>
        <v>219.8</v>
      </c>
      <c r="C175" s="65">
        <f t="shared" ref="C175:I175" si="60">C17</f>
        <v>295.5</v>
      </c>
      <c r="D175" s="65">
        <f t="shared" si="60"/>
        <v>333.199</v>
      </c>
      <c r="E175" s="65">
        <f t="shared" si="60"/>
        <v>329.9</v>
      </c>
      <c r="F175" s="65">
        <f t="shared" si="60"/>
        <v>293.4</v>
      </c>
      <c r="G175" s="65">
        <f t="shared" si="60"/>
        <v>351.394</v>
      </c>
      <c r="H175" s="65">
        <f t="shared" si="60"/>
        <v>412.082</v>
      </c>
      <c r="I175" s="65">
        <f t="shared" si="60"/>
        <v>374.213</v>
      </c>
      <c r="J175" s="65"/>
      <c r="K175" s="65"/>
      <c r="L175" s="65"/>
      <c r="M175" s="65"/>
    </row>
    <row r="177" spans="1:9">
      <c r="A177" s="62" t="s">
        <v>597</v>
      </c>
      <c r="B177" s="62"/>
      <c r="C177" s="62"/>
      <c r="D177" s="62"/>
      <c r="E177" s="3"/>
      <c r="F177" s="3"/>
      <c r="G177" s="61"/>
      <c r="H177" s="61"/>
      <c r="I177" s="61"/>
    </row>
    <row r="178" spans="1:9">
      <c r="A178" s="59" t="s">
        <v>598</v>
      </c>
      <c r="B178" s="66" t="s">
        <v>599</v>
      </c>
      <c r="C178" s="27">
        <f>C43-B43</f>
        <v>53.086</v>
      </c>
      <c r="D178" s="27">
        <f t="shared" ref="D178:I178" si="61">D43-C43</f>
        <v>27.6</v>
      </c>
      <c r="E178" s="27">
        <f t="shared" si="61"/>
        <v>-13.7</v>
      </c>
      <c r="F178" s="27">
        <f t="shared" si="61"/>
        <v>-38</v>
      </c>
      <c r="G178" s="27">
        <f t="shared" si="61"/>
        <v>103.4</v>
      </c>
      <c r="H178" s="27">
        <f t="shared" si="61"/>
        <v>-35.1</v>
      </c>
      <c r="I178" s="27">
        <f t="shared" si="61"/>
        <v>-37.792</v>
      </c>
    </row>
    <row r="179" spans="1:9">
      <c r="A179" s="59" t="s">
        <v>161</v>
      </c>
      <c r="B179" s="67" t="s">
        <v>599</v>
      </c>
      <c r="C179" s="67">
        <f>(-C5)/(C42+B42)/2</f>
        <v>0.247173324470785</v>
      </c>
      <c r="D179" s="67">
        <f t="shared" ref="D179:I179" si="62">(-D5)/(D42+C42)/2</f>
        <v>0.218452839268527</v>
      </c>
      <c r="E179" s="67">
        <f t="shared" si="62"/>
        <v>0.216739033622801</v>
      </c>
      <c r="F179" s="67">
        <f t="shared" si="62"/>
        <v>0.211229077514761</v>
      </c>
      <c r="G179" s="67">
        <f t="shared" si="62"/>
        <v>0.201287664177183</v>
      </c>
      <c r="H179" s="67">
        <f t="shared" si="62"/>
        <v>0.206449987948903</v>
      </c>
      <c r="I179" s="67">
        <f t="shared" si="62"/>
        <v>0.195715376267599</v>
      </c>
    </row>
    <row r="180" spans="1:9">
      <c r="A180" s="2" t="s">
        <v>600</v>
      </c>
      <c r="B180" s="67" t="s">
        <v>599</v>
      </c>
      <c r="C180" s="66">
        <v>0</v>
      </c>
      <c r="D180" s="66">
        <v>0</v>
      </c>
      <c r="E180" s="66">
        <v>0</v>
      </c>
      <c r="F180" s="66">
        <v>0</v>
      </c>
      <c r="G180" s="66">
        <v>0</v>
      </c>
      <c r="H180" s="66">
        <v>0</v>
      </c>
      <c r="I180" s="66">
        <v>0</v>
      </c>
    </row>
    <row r="181" spans="1:9">
      <c r="A181" s="59" t="s">
        <v>601</v>
      </c>
      <c r="B181" s="68">
        <v>3.63</v>
      </c>
      <c r="C181" s="69">
        <v>0.99</v>
      </c>
      <c r="D181" s="69">
        <v>2</v>
      </c>
      <c r="E181" s="69">
        <v>3.02</v>
      </c>
      <c r="F181" s="69">
        <v>3.94</v>
      </c>
      <c r="G181" s="69">
        <v>0.99</v>
      </c>
      <c r="H181" s="69">
        <v>2.01</v>
      </c>
      <c r="I181" s="69">
        <v>2.96</v>
      </c>
    </row>
    <row r="182" spans="1:9">
      <c r="A182" s="2" t="s">
        <v>602</v>
      </c>
      <c r="B182" s="65">
        <f>B137</f>
        <v>431.224</v>
      </c>
      <c r="C182" s="65">
        <f t="shared" ref="C182:I182" si="63">C137</f>
        <v>393.544</v>
      </c>
      <c r="D182" s="65">
        <f t="shared" si="63"/>
        <v>294.471</v>
      </c>
      <c r="E182" s="65">
        <f t="shared" si="63"/>
        <v>501.093</v>
      </c>
      <c r="F182" s="65">
        <f t="shared" si="63"/>
        <v>527.529</v>
      </c>
      <c r="G182" s="65">
        <f t="shared" si="63"/>
        <v>504.701</v>
      </c>
      <c r="H182" s="65">
        <f t="shared" si="63"/>
        <v>315.715</v>
      </c>
      <c r="I182" s="65">
        <f t="shared" si="63"/>
        <v>611.221</v>
      </c>
    </row>
    <row r="183" spans="1:9">
      <c r="A183" s="59"/>
      <c r="B183" s="70"/>
      <c r="C183" s="70"/>
      <c r="D183" s="70"/>
      <c r="E183" s="3"/>
      <c r="F183" s="3"/>
      <c r="G183" s="61"/>
      <c r="H183" s="61"/>
      <c r="I183" s="61"/>
    </row>
    <row r="184" spans="1:9">
      <c r="A184" s="62" t="s">
        <v>603</v>
      </c>
      <c r="B184" s="62"/>
      <c r="C184" s="62"/>
      <c r="D184" s="62"/>
      <c r="E184" s="3"/>
      <c r="F184" s="3"/>
      <c r="G184" s="61"/>
      <c r="H184" s="61"/>
      <c r="I184" s="61"/>
    </row>
    <row r="185" spans="1:9">
      <c r="A185" s="59" t="s">
        <v>604</v>
      </c>
      <c r="B185" s="28">
        <f>B68/B56</f>
        <v>0.664880375677392</v>
      </c>
      <c r="C185" s="28">
        <f t="shared" ref="C185:I185" si="64">C68/C56</f>
        <v>0.650019323310145</v>
      </c>
      <c r="D185" s="28">
        <f t="shared" si="64"/>
        <v>0.656343374630526</v>
      </c>
      <c r="E185" s="28">
        <f t="shared" si="64"/>
        <v>0.639817838638984</v>
      </c>
      <c r="F185" s="28">
        <f t="shared" si="64"/>
        <v>0.618611918424125</v>
      </c>
      <c r="G185" s="28">
        <f t="shared" si="64"/>
        <v>0.620673581720206</v>
      </c>
      <c r="H185" s="28">
        <f t="shared" si="64"/>
        <v>0.650495629773783</v>
      </c>
      <c r="I185" s="28">
        <f t="shared" si="64"/>
        <v>0.627923265063836</v>
      </c>
    </row>
    <row r="186" spans="1:9">
      <c r="A186" s="59" t="s">
        <v>605</v>
      </c>
      <c r="B186" s="71">
        <v>3.34</v>
      </c>
      <c r="C186" s="71">
        <v>3.38</v>
      </c>
      <c r="D186" s="71">
        <v>2.99</v>
      </c>
      <c r="E186" s="71">
        <v>2.96</v>
      </c>
      <c r="F186" s="71">
        <v>2.94</v>
      </c>
      <c r="G186" s="71">
        <v>3.19</v>
      </c>
      <c r="H186" s="71">
        <v>3.25</v>
      </c>
      <c r="I186" s="71">
        <v>3.51</v>
      </c>
    </row>
    <row r="187" spans="1:9">
      <c r="A187" s="59" t="s">
        <v>606</v>
      </c>
      <c r="B187" s="65">
        <f>B48</f>
        <v>1388.901</v>
      </c>
      <c r="C187" s="65">
        <f t="shared" ref="C187:I187" si="65">C48</f>
        <v>1441.1</v>
      </c>
      <c r="D187" s="65">
        <f t="shared" si="65"/>
        <v>1110.4</v>
      </c>
      <c r="E187" s="65">
        <f t="shared" si="65"/>
        <v>1012.4</v>
      </c>
      <c r="F187" s="65">
        <f t="shared" si="65"/>
        <v>1122</v>
      </c>
      <c r="G187" s="65">
        <f t="shared" si="65"/>
        <v>1366.2</v>
      </c>
      <c r="H187" s="65">
        <f t="shared" si="65"/>
        <v>1332.1</v>
      </c>
      <c r="I187" s="65">
        <f t="shared" si="65"/>
        <v>1528.69</v>
      </c>
    </row>
    <row r="188" spans="1:9">
      <c r="A188" s="59"/>
      <c r="B188" s="70"/>
      <c r="C188" s="70"/>
      <c r="D188" s="70"/>
      <c r="E188" s="3"/>
      <c r="F188" s="3"/>
      <c r="G188" s="3"/>
      <c r="H188" s="3"/>
      <c r="I188" s="3"/>
    </row>
    <row r="189" spans="1:9">
      <c r="A189" s="62" t="s">
        <v>607</v>
      </c>
      <c r="B189" s="62"/>
      <c r="C189" s="62"/>
      <c r="D189" s="62"/>
      <c r="E189" s="3"/>
      <c r="F189" s="3"/>
      <c r="G189" s="3"/>
      <c r="H189" s="3"/>
      <c r="I189" s="3"/>
    </row>
    <row r="190" spans="1:9">
      <c r="A190" s="59" t="s">
        <v>608</v>
      </c>
      <c r="B190" s="72">
        <f>B52</f>
        <v>1457.8</v>
      </c>
      <c r="C190" s="72">
        <f t="shared" ref="C190:I190" si="66">C52</f>
        <v>1442.3</v>
      </c>
      <c r="D190" s="72">
        <f t="shared" si="66"/>
        <v>1451.8</v>
      </c>
      <c r="E190" s="72">
        <f t="shared" si="66"/>
        <v>1491.4</v>
      </c>
      <c r="F190" s="72">
        <f t="shared" si="66"/>
        <v>1575.2</v>
      </c>
      <c r="G190" s="72">
        <f t="shared" si="66"/>
        <v>1632.6</v>
      </c>
      <c r="H190" s="72">
        <f t="shared" si="66"/>
        <v>1709.4</v>
      </c>
      <c r="I190" s="72">
        <f t="shared" si="66"/>
        <v>1767.437</v>
      </c>
    </row>
    <row r="191" spans="1:9">
      <c r="A191" s="59" t="s">
        <v>524</v>
      </c>
      <c r="B191" s="73">
        <f>B50</f>
        <v>785.2</v>
      </c>
      <c r="C191" s="73">
        <f t="shared" ref="C191:I191" si="67">C50</f>
        <v>785.2</v>
      </c>
      <c r="D191" s="73">
        <f t="shared" si="67"/>
        <v>785.2</v>
      </c>
      <c r="E191" s="73">
        <f t="shared" si="67"/>
        <v>785.2</v>
      </c>
      <c r="F191" s="73">
        <f t="shared" si="67"/>
        <v>785.2</v>
      </c>
      <c r="G191" s="73">
        <f t="shared" si="67"/>
        <v>785.2</v>
      </c>
      <c r="H191" s="73">
        <f t="shared" si="67"/>
        <v>785.2</v>
      </c>
      <c r="I191" s="73">
        <f t="shared" si="67"/>
        <v>785.182</v>
      </c>
    </row>
    <row r="193" spans="1:5">
      <c r="A193" s="75" t="s">
        <v>609</v>
      </c>
      <c r="B193" s="18"/>
      <c r="C193" s="18"/>
      <c r="D193" s="18"/>
      <c r="E193" s="3"/>
    </row>
    <row r="194" spans="1:9">
      <c r="A194" s="3" t="s">
        <v>610</v>
      </c>
      <c r="B194" s="64">
        <f>B43/B4</f>
        <v>0.169893274853801</v>
      </c>
      <c r="C194" s="64">
        <f t="shared" ref="C194:I194" si="68">C43/C4</f>
        <v>0.199790062981106</v>
      </c>
      <c r="D194" s="64">
        <f t="shared" si="68"/>
        <v>0.21245728461812</v>
      </c>
      <c r="E194" s="64">
        <f t="shared" si="68"/>
        <v>0.193911917098446</v>
      </c>
      <c r="F194" s="64">
        <f t="shared" si="68"/>
        <v>0.171601129127552</v>
      </c>
      <c r="G194" s="64">
        <f t="shared" si="68"/>
        <v>0.23021582733813</v>
      </c>
      <c r="H194" s="64">
        <f t="shared" si="68"/>
        <v>0.192575139057708</v>
      </c>
      <c r="I194" s="64">
        <f t="shared" si="68"/>
        <v>0.177512209330963</v>
      </c>
    </row>
    <row r="195" spans="1:9">
      <c r="A195" s="3" t="s">
        <v>611</v>
      </c>
      <c r="B195" s="64">
        <v>0</v>
      </c>
      <c r="C195" s="64">
        <v>0</v>
      </c>
      <c r="D195" s="64">
        <v>0</v>
      </c>
      <c r="E195" s="64">
        <v>0</v>
      </c>
      <c r="F195" s="64">
        <v>0</v>
      </c>
      <c r="G195" s="64">
        <v>0</v>
      </c>
      <c r="H195" s="64">
        <v>0</v>
      </c>
      <c r="I195" s="64">
        <v>0</v>
      </c>
    </row>
    <row r="196" spans="1:9">
      <c r="A196" s="3" t="s">
        <v>612</v>
      </c>
      <c r="B196" s="64">
        <f>B42/B4</f>
        <v>0.493173976608187</v>
      </c>
      <c r="C196" s="64">
        <f t="shared" ref="C196:I196" si="69">C42/C4</f>
        <v>0.534359692092372</v>
      </c>
      <c r="D196" s="64">
        <f t="shared" si="69"/>
        <v>0.609890154630361</v>
      </c>
      <c r="E196" s="64">
        <f t="shared" si="69"/>
        <v>0.581347150259067</v>
      </c>
      <c r="F196" s="64">
        <f t="shared" si="69"/>
        <v>0.622661327381343</v>
      </c>
      <c r="G196" s="64">
        <f t="shared" si="69"/>
        <v>0.626656569481257</v>
      </c>
      <c r="H196" s="64">
        <f t="shared" si="69"/>
        <v>0.631695519838978</v>
      </c>
      <c r="I196" s="64">
        <f t="shared" si="69"/>
        <v>0.62723579287526</v>
      </c>
    </row>
    <row r="197" spans="1:9">
      <c r="A197" s="3" t="s">
        <v>537</v>
      </c>
      <c r="B197" s="64">
        <f>B4/B56</f>
        <v>0.176156723855793</v>
      </c>
      <c r="C197" s="64">
        <f t="shared" ref="C197:I197" si="70">C4/C56</f>
        <v>0.178148452888523</v>
      </c>
      <c r="D197" s="64">
        <f t="shared" si="70"/>
        <v>0.1853604175838</v>
      </c>
      <c r="E197" s="64">
        <f t="shared" si="70"/>
        <v>0.195589110854942</v>
      </c>
      <c r="F197" s="64">
        <f t="shared" si="70"/>
        <v>0.189196909854187</v>
      </c>
      <c r="G197" s="64">
        <f t="shared" si="70"/>
        <v>0.183237355165476</v>
      </c>
      <c r="H197" s="64">
        <f t="shared" si="70"/>
        <v>0.192589063747933</v>
      </c>
      <c r="I197" s="64">
        <f t="shared" si="70"/>
        <v>0.182935414116841</v>
      </c>
    </row>
    <row r="198" spans="1:9">
      <c r="A198" s="3" t="s">
        <v>613</v>
      </c>
      <c r="B198" s="76">
        <f>B137/B15</f>
        <v>1.94507893549842</v>
      </c>
      <c r="C198" s="76">
        <f t="shared" ref="C198:I198" si="71">C137/C15</f>
        <v>1.32551027281913</v>
      </c>
      <c r="D198" s="76">
        <f t="shared" si="71"/>
        <v>0.880597729060194</v>
      </c>
      <c r="E198" s="76">
        <f t="shared" si="71"/>
        <v>1.51068133855894</v>
      </c>
      <c r="F198" s="76">
        <f t="shared" si="71"/>
        <v>1.79187839673913</v>
      </c>
      <c r="G198" s="76">
        <f t="shared" si="71"/>
        <v>1.43301986973089</v>
      </c>
      <c r="H198" s="76">
        <f t="shared" si="71"/>
        <v>0.763921487023389</v>
      </c>
      <c r="I198" s="76">
        <f t="shared" si="71"/>
        <v>1.63030089647465</v>
      </c>
    </row>
    <row r="199" spans="1:9">
      <c r="A199" s="3"/>
      <c r="B199" s="3"/>
      <c r="C199" s="3"/>
      <c r="D199" s="3"/>
      <c r="E199" s="3"/>
      <c r="F199" s="3"/>
      <c r="G199" s="3"/>
      <c r="H199" s="3"/>
      <c r="I199" s="3"/>
    </row>
    <row r="200" spans="1:9">
      <c r="A200" s="3" t="s">
        <v>259</v>
      </c>
      <c r="B200" s="77">
        <f t="shared" ref="B200:I200" si="72">B11</f>
        <v>298.7</v>
      </c>
      <c r="C200" s="77">
        <f t="shared" si="72"/>
        <v>384.9</v>
      </c>
      <c r="D200" s="77">
        <f t="shared" si="72"/>
        <v>437.007</v>
      </c>
      <c r="E200" s="77">
        <f t="shared" si="72"/>
        <v>423.1</v>
      </c>
      <c r="F200" s="77">
        <f t="shared" si="72"/>
        <v>372.2</v>
      </c>
      <c r="G200" s="77">
        <f t="shared" si="72"/>
        <v>442.1</v>
      </c>
      <c r="H200" s="77">
        <f t="shared" si="72"/>
        <v>511.126</v>
      </c>
      <c r="I200" s="77">
        <f t="shared" si="72"/>
        <v>466.617</v>
      </c>
    </row>
    <row r="201" spans="1:9">
      <c r="A201" s="3" t="s">
        <v>386</v>
      </c>
      <c r="B201" s="77">
        <f t="shared" ref="B201:I201" si="73">B34</f>
        <v>171</v>
      </c>
      <c r="C201" s="77">
        <f t="shared" si="73"/>
        <v>152</v>
      </c>
      <c r="D201" s="77">
        <f t="shared" si="73"/>
        <v>152</v>
      </c>
      <c r="E201" s="77">
        <f t="shared" si="73"/>
        <v>172</v>
      </c>
      <c r="F201" s="77">
        <f t="shared" si="73"/>
        <v>186</v>
      </c>
      <c r="G201" s="77">
        <f t="shared" si="73"/>
        <v>163</v>
      </c>
      <c r="H201" s="77">
        <f t="shared" si="73"/>
        <v>158</v>
      </c>
      <c r="I201" s="77">
        <f t="shared" si="73"/>
        <v>171</v>
      </c>
    </row>
    <row r="202" spans="1:9">
      <c r="A202" s="3" t="s">
        <v>278</v>
      </c>
      <c r="B202" s="27">
        <f>824-510</f>
        <v>314</v>
      </c>
      <c r="C202" s="27">
        <v>165</v>
      </c>
      <c r="D202" s="65">
        <f>369-C202</f>
        <v>204</v>
      </c>
      <c r="E202" s="65">
        <f>592-D202-C202</f>
        <v>223</v>
      </c>
      <c r="F202" s="65">
        <f>911-E202-D202-C202</f>
        <v>319</v>
      </c>
      <c r="G202" s="65">
        <v>243</v>
      </c>
      <c r="H202" s="65">
        <f>527-G202</f>
        <v>284</v>
      </c>
      <c r="I202" s="65">
        <f>787-H202-G202</f>
        <v>260</v>
      </c>
    </row>
    <row r="203" spans="1:9">
      <c r="A203" s="3" t="s">
        <v>614</v>
      </c>
      <c r="B203" s="77">
        <f>B49</f>
        <v>3952.512</v>
      </c>
      <c r="C203" s="77">
        <f t="shared" ref="C203:I203" si="74">C49</f>
        <v>4189.6</v>
      </c>
      <c r="D203" s="77">
        <f t="shared" si="74"/>
        <v>4051</v>
      </c>
      <c r="E203" s="77">
        <f t="shared" si="74"/>
        <v>3956.6</v>
      </c>
      <c r="F203" s="77">
        <f t="shared" si="74"/>
        <v>3986</v>
      </c>
      <c r="G203" s="77">
        <f t="shared" si="74"/>
        <v>4502.3</v>
      </c>
      <c r="H203" s="77">
        <f t="shared" si="74"/>
        <v>4589.9</v>
      </c>
      <c r="I203" s="77">
        <f t="shared" si="74"/>
        <v>4618.456</v>
      </c>
    </row>
    <row r="204" spans="1:9">
      <c r="A204" s="78" t="s">
        <v>615</v>
      </c>
      <c r="B204" s="77">
        <f>B62</f>
        <v>1162.218</v>
      </c>
      <c r="C204" s="77">
        <f t="shared" ref="C204:I204" si="75">C62</f>
        <v>1198.187</v>
      </c>
      <c r="D204" s="77">
        <f t="shared" si="75"/>
        <v>1239.375</v>
      </c>
      <c r="E204" s="77">
        <f t="shared" si="75"/>
        <v>1218.053</v>
      </c>
      <c r="F204" s="77">
        <f t="shared" si="75"/>
        <v>1220.739</v>
      </c>
      <c r="G204" s="77">
        <f t="shared" si="75"/>
        <v>1289.428</v>
      </c>
      <c r="H204" s="77">
        <f t="shared" si="75"/>
        <v>1265.147</v>
      </c>
      <c r="I204" s="77">
        <f t="shared" si="75"/>
        <v>1222.633</v>
      </c>
    </row>
    <row r="205" spans="1:9">
      <c r="A205" s="78" t="s">
        <v>616</v>
      </c>
      <c r="B205" s="77">
        <f>B203-B204</f>
        <v>2790.294</v>
      </c>
      <c r="C205" s="77">
        <f t="shared" ref="C205:I205" si="76">C203-C204</f>
        <v>2991.413</v>
      </c>
      <c r="D205" s="77">
        <f t="shared" si="76"/>
        <v>2811.625</v>
      </c>
      <c r="E205" s="77">
        <f t="shared" si="76"/>
        <v>2738.547</v>
      </c>
      <c r="F205" s="77">
        <f t="shared" si="76"/>
        <v>2765.261</v>
      </c>
      <c r="G205" s="77">
        <f t="shared" si="76"/>
        <v>3212.872</v>
      </c>
      <c r="H205" s="77">
        <f t="shared" si="76"/>
        <v>3324.753</v>
      </c>
      <c r="I205" s="77">
        <f t="shared" si="76"/>
        <v>3395.823</v>
      </c>
    </row>
    <row r="206" spans="1:9">
      <c r="A206" s="3" t="s">
        <v>382</v>
      </c>
      <c r="B206" s="28">
        <f t="shared" ref="B206:I206" si="77">B30</f>
        <v>0.210470085470085</v>
      </c>
      <c r="C206" s="28">
        <f t="shared" si="77"/>
        <v>0.219915922228061</v>
      </c>
      <c r="D206" s="28">
        <f t="shared" si="77"/>
        <v>0.220000606460672</v>
      </c>
      <c r="E206" s="28">
        <f t="shared" si="77"/>
        <v>0.219896519285042</v>
      </c>
      <c r="F206" s="28">
        <f t="shared" si="77"/>
        <v>0.199347293989666</v>
      </c>
      <c r="G206" s="28">
        <f t="shared" si="77"/>
        <v>0.200093573839298</v>
      </c>
      <c r="H206" s="28">
        <f t="shared" si="77"/>
        <v>0.190688894154416</v>
      </c>
      <c r="I206" s="28">
        <f t="shared" si="77"/>
        <v>0.194999248491615</v>
      </c>
    </row>
    <row r="207" spans="1:9">
      <c r="A207" s="3" t="s">
        <v>380</v>
      </c>
      <c r="B207" s="79">
        <f>B200*B206</f>
        <v>62.8674145299145</v>
      </c>
      <c r="C207" s="79">
        <f t="shared" ref="C207:I207" si="78">C200*C206</f>
        <v>84.6456384655807</v>
      </c>
      <c r="D207" s="79">
        <f t="shared" si="78"/>
        <v>96.141805027559</v>
      </c>
      <c r="E207" s="79">
        <f t="shared" si="78"/>
        <v>93.0382173095014</v>
      </c>
      <c r="F207" s="79">
        <f t="shared" si="78"/>
        <v>74.1970628229535</v>
      </c>
      <c r="G207" s="79">
        <f t="shared" si="78"/>
        <v>88.4613689943538</v>
      </c>
      <c r="H207" s="79">
        <f t="shared" si="78"/>
        <v>97.4660517135701</v>
      </c>
      <c r="I207" s="79">
        <f t="shared" si="78"/>
        <v>90.989964333412</v>
      </c>
    </row>
    <row r="209" spans="1:9">
      <c r="A209" s="3" t="s">
        <v>617</v>
      </c>
      <c r="B209" s="29">
        <v>0</v>
      </c>
      <c r="C209" s="29">
        <f>C200*(1-C206)+C201-C202-(C205-B205)</f>
        <v>86.1353615344196</v>
      </c>
      <c r="D209" s="29">
        <f t="shared" ref="D209:I209" si="79">D200*(1-D206)+D201-D202-(D205-C205)</f>
        <v>468.653194972442</v>
      </c>
      <c r="E209" s="29">
        <f t="shared" si="79"/>
        <v>352.139782690498</v>
      </c>
      <c r="F209" s="29">
        <f t="shared" si="79"/>
        <v>138.288937177047</v>
      </c>
      <c r="G209" s="29">
        <f t="shared" si="79"/>
        <v>-173.972368994353</v>
      </c>
      <c r="H209" s="29">
        <f t="shared" si="79"/>
        <v>175.778948286429</v>
      </c>
      <c r="I209" s="29">
        <f t="shared" si="79"/>
        <v>215.557035666588</v>
      </c>
    </row>
    <row r="211" spans="1:3">
      <c r="A211" s="2" t="s">
        <v>618</v>
      </c>
      <c r="B211" s="44">
        <v>1.01</v>
      </c>
      <c r="C211" s="44"/>
    </row>
    <row r="212" spans="1:3">
      <c r="A212" s="2" t="s">
        <v>378</v>
      </c>
      <c r="B212" s="80">
        <v>0</v>
      </c>
      <c r="C212" s="44"/>
    </row>
    <row r="213" spans="1:3">
      <c r="A213" s="2" t="s">
        <v>619</v>
      </c>
      <c r="B213" s="80">
        <v>0</v>
      </c>
      <c r="C213" s="44"/>
    </row>
    <row r="214" spans="1:3">
      <c r="A214" s="2" t="s">
        <v>379</v>
      </c>
      <c r="B214" s="80">
        <f>B212+B211*B213</f>
        <v>0</v>
      </c>
      <c r="C214" s="80"/>
    </row>
    <row r="215" spans="1:3">
      <c r="A215" s="2" t="s">
        <v>381</v>
      </c>
      <c r="B215" s="80">
        <v>0</v>
      </c>
      <c r="C215" s="44"/>
    </row>
    <row r="216" spans="1:3">
      <c r="A216" s="2" t="s">
        <v>383</v>
      </c>
      <c r="B216" s="81">
        <v>0</v>
      </c>
      <c r="C216" s="16"/>
    </row>
    <row r="217" spans="1:3">
      <c r="A217" s="2" t="s">
        <v>620</v>
      </c>
      <c r="B217" s="80">
        <v>0</v>
      </c>
      <c r="C217" s="44"/>
    </row>
    <row r="219" spans="1:3">
      <c r="A219" s="3" t="s">
        <v>385</v>
      </c>
      <c r="B219" s="81">
        <f>B214*(1-B217)+B215*(1-B216)*B217</f>
        <v>0</v>
      </c>
      <c r="C219" s="16"/>
    </row>
    <row r="220" spans="1:1">
      <c r="A220" s="3"/>
    </row>
    <row r="221" spans="1:1">
      <c r="A221" s="58" t="s">
        <v>621</v>
      </c>
    </row>
    <row r="222" spans="1:2">
      <c r="A222" s="2" t="s">
        <v>622</v>
      </c>
      <c r="B222" s="81">
        <f>B219</f>
        <v>0</v>
      </c>
    </row>
    <row r="223" spans="1:3">
      <c r="A223" s="11" t="s">
        <v>623</v>
      </c>
      <c r="B223" s="81">
        <f>(1+B222)^0.25-1</f>
        <v>0</v>
      </c>
      <c r="C223" s="16"/>
    </row>
    <row r="224" spans="1:7">
      <c r="A224" s="2" t="s">
        <v>624</v>
      </c>
      <c r="B224" s="82">
        <v>0</v>
      </c>
      <c r="C224" s="54"/>
      <c r="G224" s="16"/>
    </row>
    <row r="226" ht="19.25" spans="1:5">
      <c r="A226" s="2" t="s">
        <v>625</v>
      </c>
      <c r="B226" s="7" t="s">
        <v>490</v>
      </c>
      <c r="C226" s="7" t="s">
        <v>491</v>
      </c>
      <c r="D226" s="7" t="s">
        <v>492</v>
      </c>
      <c r="E226" s="7" t="s">
        <v>493</v>
      </c>
    </row>
    <row r="227" spans="1:5">
      <c r="A227" s="11" t="s">
        <v>626</v>
      </c>
      <c r="B227" s="83">
        <v>1</v>
      </c>
      <c r="C227" s="83">
        <f>B227+1</f>
        <v>2</v>
      </c>
      <c r="D227" s="83">
        <f>C227+1</f>
        <v>3</v>
      </c>
      <c r="E227" s="83">
        <f>D227+1</f>
        <v>4</v>
      </c>
    </row>
    <row r="228" spans="1:5">
      <c r="A228" s="84" t="s">
        <v>627</v>
      </c>
      <c r="B228" s="85">
        <f>J209</f>
        <v>0</v>
      </c>
      <c r="C228" s="85">
        <f>K209</f>
        <v>0</v>
      </c>
      <c r="D228" s="85">
        <f>L209</f>
        <v>0</v>
      </c>
      <c r="E228" s="85">
        <f>M209</f>
        <v>0</v>
      </c>
    </row>
    <row r="229" spans="1:5">
      <c r="A229" s="2" t="s">
        <v>628</v>
      </c>
      <c r="B229" s="86">
        <f>B228/(1+$B$222)^B227</f>
        <v>0</v>
      </c>
      <c r="C229" s="86">
        <f>C228/(1+$B$222)^C227</f>
        <v>0</v>
      </c>
      <c r="D229" s="86">
        <f>D228/(1+$B$222)^D227</f>
        <v>0</v>
      </c>
      <c r="E229" s="86">
        <f>E228/(1+$B$222)^E227</f>
        <v>0</v>
      </c>
    </row>
    <row r="230" spans="2:5">
      <c r="B230" s="87"/>
      <c r="C230" s="87"/>
      <c r="D230" s="87"/>
      <c r="E230" s="87"/>
    </row>
    <row r="231" spans="1:5">
      <c r="A231" s="88" t="s">
        <v>494</v>
      </c>
      <c r="B231" s="86">
        <f>E228*(1+B224)</f>
        <v>0</v>
      </c>
      <c r="C231" s="87"/>
      <c r="E231" s="87"/>
    </row>
    <row r="232" spans="1:5">
      <c r="A232" s="3" t="s">
        <v>388</v>
      </c>
      <c r="B232" s="86" t="e">
        <f>B231/(B223-B224)</f>
        <v>#DIV/0!</v>
      </c>
      <c r="C232" s="87"/>
      <c r="D232" s="87"/>
      <c r="E232" s="87"/>
    </row>
    <row r="233" spans="1:5">
      <c r="A233" s="3" t="s">
        <v>629</v>
      </c>
      <c r="B233" s="86" t="e">
        <f>B232/(1+B222)^5</f>
        <v>#DIV/0!</v>
      </c>
      <c r="C233" s="87"/>
      <c r="D233" s="87"/>
      <c r="E233" s="87"/>
    </row>
    <row r="234" spans="1:5">
      <c r="A234" s="2" t="s">
        <v>630</v>
      </c>
      <c r="B234" s="86">
        <f>SUM(B229:E229)</f>
        <v>0</v>
      </c>
      <c r="C234" s="87"/>
      <c r="D234" s="87"/>
      <c r="E234" s="87"/>
    </row>
    <row r="235" spans="1:2">
      <c r="A235" s="2" t="s">
        <v>631</v>
      </c>
      <c r="B235" s="89" t="e">
        <f>SUM(B233:B234)</f>
        <v>#DIV/0!</v>
      </c>
    </row>
    <row r="236" spans="1:2">
      <c r="A236" s="2" t="s">
        <v>632</v>
      </c>
      <c r="B236" s="89" t="e">
        <f>-(M63+M64+#REF!)</f>
        <v>#REF!</v>
      </c>
    </row>
    <row r="237" spans="1:2">
      <c r="A237" s="2" t="s">
        <v>633</v>
      </c>
      <c r="B237" s="89">
        <f>J42</f>
        <v>0</v>
      </c>
    </row>
    <row r="238" spans="1:2">
      <c r="A238" s="2" t="s">
        <v>634</v>
      </c>
      <c r="B238" s="89" t="e">
        <f>SUM(B235:B237)</f>
        <v>#DIV/0!</v>
      </c>
    </row>
    <row r="239" spans="1:2">
      <c r="A239" s="2" t="s">
        <v>635</v>
      </c>
      <c r="B239" s="90">
        <f>M20</f>
        <v>181.5</v>
      </c>
    </row>
    <row r="240" spans="1:2">
      <c r="A240" s="2" t="s">
        <v>636</v>
      </c>
      <c r="B240" s="90" t="e">
        <f>B238/B239</f>
        <v>#DIV/0!</v>
      </c>
    </row>
    <row r="242" spans="1:1">
      <c r="A242" s="58" t="s">
        <v>637</v>
      </c>
    </row>
    <row r="243" spans="1:2">
      <c r="A243" s="2" t="s">
        <v>622</v>
      </c>
      <c r="B243" s="81">
        <f>B222</f>
        <v>0</v>
      </c>
    </row>
    <row r="244" spans="1:3">
      <c r="A244" s="11" t="s">
        <v>623</v>
      </c>
      <c r="B244" s="81">
        <f>(1+B243)^0.25-1</f>
        <v>0</v>
      </c>
      <c r="C244" s="16"/>
    </row>
    <row r="245" spans="1:3">
      <c r="A245" s="2" t="s">
        <v>624</v>
      </c>
      <c r="B245" s="82">
        <v>0</v>
      </c>
      <c r="C245" s="54"/>
    </row>
    <row r="246" spans="1:3">
      <c r="A246" s="54"/>
      <c r="B246" s="91"/>
      <c r="C246" s="16"/>
    </row>
    <row r="247" ht="19.25" spans="1:5">
      <c r="A247" s="2" t="s">
        <v>625</v>
      </c>
      <c r="B247" s="7" t="s">
        <v>490</v>
      </c>
      <c r="C247" s="7" t="s">
        <v>491</v>
      </c>
      <c r="D247" s="7" t="s">
        <v>492</v>
      </c>
      <c r="E247" s="7" t="s">
        <v>493</v>
      </c>
    </row>
    <row r="248" spans="1:5">
      <c r="A248" s="11" t="s">
        <v>626</v>
      </c>
      <c r="B248" s="83">
        <v>1</v>
      </c>
      <c r="C248" s="83">
        <f>B248+1</f>
        <v>2</v>
      </c>
      <c r="D248" s="83">
        <f>C248+1</f>
        <v>3</v>
      </c>
      <c r="E248" s="83">
        <f>D248+1</f>
        <v>4</v>
      </c>
    </row>
    <row r="249" spans="1:5">
      <c r="A249" s="84" t="s">
        <v>627</v>
      </c>
      <c r="B249" s="85">
        <f>B228</f>
        <v>0</v>
      </c>
      <c r="C249" s="85">
        <f>C228</f>
        <v>0</v>
      </c>
      <c r="D249" s="85">
        <f>D228</f>
        <v>0</v>
      </c>
      <c r="E249" s="85">
        <f>E228</f>
        <v>0</v>
      </c>
    </row>
    <row r="250" spans="1:5">
      <c r="A250" s="2" t="s">
        <v>628</v>
      </c>
      <c r="B250" s="86">
        <f>B249/(1+$B$222)^B248</f>
        <v>0</v>
      </c>
      <c r="C250" s="86">
        <f>C249/(1+$B$222)^C248</f>
        <v>0</v>
      </c>
      <c r="D250" s="86">
        <f>D249/(1+$B$222)^D248</f>
        <v>0</v>
      </c>
      <c r="E250" s="86">
        <f>E249/(1+$B$222)^E248</f>
        <v>0</v>
      </c>
    </row>
    <row r="251" spans="2:5">
      <c r="B251" s="87"/>
      <c r="C251" s="87"/>
      <c r="D251" s="87"/>
      <c r="E251" s="87"/>
    </row>
    <row r="252" spans="1:5">
      <c r="A252" s="88" t="s">
        <v>494</v>
      </c>
      <c r="B252" s="86">
        <f>E249*(1+B245)</f>
        <v>0</v>
      </c>
      <c r="C252" s="87"/>
      <c r="E252" s="87"/>
    </row>
    <row r="253" spans="1:5">
      <c r="A253" s="3" t="s">
        <v>388</v>
      </c>
      <c r="B253" s="86" t="e">
        <f>B252/(B244-B245)</f>
        <v>#DIV/0!</v>
      </c>
      <c r="C253" s="87"/>
      <c r="D253" s="87"/>
      <c r="E253" s="87"/>
    </row>
    <row r="254" spans="1:5">
      <c r="A254" s="3" t="s">
        <v>629</v>
      </c>
      <c r="B254" s="86" t="e">
        <f>B253/(1+B243)^5</f>
        <v>#DIV/0!</v>
      </c>
      <c r="C254" s="87"/>
      <c r="D254" s="87"/>
      <c r="E254" s="87"/>
    </row>
    <row r="255" spans="1:5">
      <c r="A255" s="2" t="s">
        <v>630</v>
      </c>
      <c r="B255" s="86">
        <f>SUM(B250:E250)</f>
        <v>0</v>
      </c>
      <c r="C255" s="87"/>
      <c r="D255" s="87"/>
      <c r="E255" s="87"/>
    </row>
    <row r="256" spans="1:2">
      <c r="A256" s="2" t="s">
        <v>631</v>
      </c>
      <c r="B256" s="89" t="e">
        <f>SUM(B254:B255)</f>
        <v>#DIV/0!</v>
      </c>
    </row>
    <row r="257" spans="1:2">
      <c r="A257" s="2" t="s">
        <v>632</v>
      </c>
      <c r="B257" s="89" t="e">
        <f>B236</f>
        <v>#REF!</v>
      </c>
    </row>
    <row r="258" spans="1:2">
      <c r="A258" s="2" t="s">
        <v>633</v>
      </c>
      <c r="B258" s="89">
        <f>B237</f>
        <v>0</v>
      </c>
    </row>
    <row r="259" spans="1:2">
      <c r="A259" s="2" t="s">
        <v>634</v>
      </c>
      <c r="B259" s="89" t="e">
        <f>SUM(B256:B258)</f>
        <v>#DIV/0!</v>
      </c>
    </row>
    <row r="260" spans="1:2">
      <c r="A260" s="2" t="s">
        <v>635</v>
      </c>
      <c r="B260" s="90">
        <f>B239</f>
        <v>181.5</v>
      </c>
    </row>
    <row r="261" spans="1:2">
      <c r="A261" s="2" t="s">
        <v>636</v>
      </c>
      <c r="B261" s="90" t="e">
        <f>B259/B260</f>
        <v>#DIV/0!</v>
      </c>
    </row>
    <row r="262" spans="2:2">
      <c r="B262" s="54"/>
    </row>
    <row r="263" spans="1:2">
      <c r="A263" s="58" t="s">
        <v>638</v>
      </c>
      <c r="B263" s="54"/>
    </row>
    <row r="264" spans="1:2">
      <c r="A264" s="2" t="s">
        <v>622</v>
      </c>
      <c r="B264" s="81">
        <f>B243</f>
        <v>0</v>
      </c>
    </row>
    <row r="265" spans="1:3">
      <c r="A265" s="11" t="s">
        <v>623</v>
      </c>
      <c r="B265" s="81">
        <f>(1+B264)^0.25-1</f>
        <v>0</v>
      </c>
      <c r="C265" s="16"/>
    </row>
    <row r="266" spans="1:3">
      <c r="A266" s="2" t="s">
        <v>624</v>
      </c>
      <c r="B266" s="82">
        <v>-0.01</v>
      </c>
      <c r="C266" s="54"/>
    </row>
    <row r="267" spans="1:3">
      <c r="A267" s="54"/>
      <c r="B267" s="92"/>
      <c r="C267" s="16"/>
    </row>
    <row r="268" ht="19.25" spans="1:5">
      <c r="A268" s="2" t="s">
        <v>625</v>
      </c>
      <c r="B268" s="93" t="s">
        <v>490</v>
      </c>
      <c r="C268" s="7" t="s">
        <v>491</v>
      </c>
      <c r="D268" s="7" t="s">
        <v>492</v>
      </c>
      <c r="E268" s="7" t="s">
        <v>493</v>
      </c>
    </row>
    <row r="269" spans="1:5">
      <c r="A269" s="11" t="s">
        <v>626</v>
      </c>
      <c r="B269" s="83">
        <v>1</v>
      </c>
      <c r="C269" s="83">
        <f>B269+1</f>
        <v>2</v>
      </c>
      <c r="D269" s="83">
        <f>C269+1</f>
        <v>3</v>
      </c>
      <c r="E269" s="83">
        <f>D269+1</f>
        <v>4</v>
      </c>
    </row>
    <row r="270" spans="1:5">
      <c r="A270" s="84" t="s">
        <v>627</v>
      </c>
      <c r="B270" s="85">
        <f>B249</f>
        <v>0</v>
      </c>
      <c r="C270" s="85">
        <f>C249</f>
        <v>0</v>
      </c>
      <c r="D270" s="85">
        <f>D249</f>
        <v>0</v>
      </c>
      <c r="E270" s="85">
        <f>E249</f>
        <v>0</v>
      </c>
    </row>
    <row r="271" spans="1:5">
      <c r="A271" s="2" t="s">
        <v>628</v>
      </c>
      <c r="B271" s="86">
        <f>B270/(1+$B$222)^B269</f>
        <v>0</v>
      </c>
      <c r="C271" s="86">
        <f>C270/(1+$B$222)^C269</f>
        <v>0</v>
      </c>
      <c r="D271" s="86">
        <f>D270/(1+$B$222)^D269</f>
        <v>0</v>
      </c>
      <c r="E271" s="86">
        <f>E270/(1+$B$222)^E269</f>
        <v>0</v>
      </c>
    </row>
    <row r="273" spans="1:2">
      <c r="A273" s="88" t="s">
        <v>494</v>
      </c>
      <c r="B273" s="86">
        <f>E270*(1+B266)</f>
        <v>0</v>
      </c>
    </row>
    <row r="274" spans="1:2">
      <c r="A274" s="3" t="s">
        <v>388</v>
      </c>
      <c r="B274" s="86">
        <f>B273/(B265-B266)</f>
        <v>0</v>
      </c>
    </row>
    <row r="275" spans="1:2">
      <c r="A275" s="3" t="s">
        <v>629</v>
      </c>
      <c r="B275" s="86">
        <f>B274/(1+B264)^5</f>
        <v>0</v>
      </c>
    </row>
    <row r="276" spans="1:2">
      <c r="A276" s="2" t="s">
        <v>630</v>
      </c>
      <c r="B276" s="86">
        <f>SUM(B271:E271)</f>
        <v>0</v>
      </c>
    </row>
    <row r="277" spans="1:2">
      <c r="A277" s="2" t="s">
        <v>631</v>
      </c>
      <c r="B277" s="89">
        <f>SUM(B275:B276)</f>
        <v>0</v>
      </c>
    </row>
    <row r="278" spans="1:2">
      <c r="A278" s="2" t="s">
        <v>632</v>
      </c>
      <c r="B278" s="89" t="e">
        <f>B257</f>
        <v>#REF!</v>
      </c>
    </row>
    <row r="279" spans="1:2">
      <c r="A279" s="2" t="s">
        <v>633</v>
      </c>
      <c r="B279" s="89">
        <f>B258</f>
        <v>0</v>
      </c>
    </row>
    <row r="280" spans="1:2">
      <c r="A280" s="2" t="s">
        <v>634</v>
      </c>
      <c r="B280" s="89" t="e">
        <f>SUM(B277:B279)</f>
        <v>#REF!</v>
      </c>
    </row>
    <row r="281" spans="1:2">
      <c r="A281" s="2" t="s">
        <v>635</v>
      </c>
      <c r="B281" s="90">
        <f>B260</f>
        <v>181.5</v>
      </c>
    </row>
    <row r="282" spans="1:2">
      <c r="A282" s="2" t="s">
        <v>636</v>
      </c>
      <c r="B282" s="90" t="e">
        <f>B280/B281</f>
        <v>#REF!</v>
      </c>
    </row>
  </sheetData>
  <pageMargins left="0.7" right="0.7" top="0.75" bottom="0.75" header="0.3" footer="0.3"/>
  <pageSetup paperSize="9" fitToWidth="0" fitToHeight="0"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SUM</vt:lpstr>
      <vt:lpstr>MOD</vt:lpstr>
      <vt:lpstr>INDUSTRY MODEL</vt:lpstr>
      <vt:lpstr>REVERSE DCF</vt:lpstr>
      <vt:lpstr>CASES</vt:lpstr>
      <vt:lpstr>VALUATION</vt:lpstr>
      <vt:lpstr>BIZ MOD</vt:lpstr>
      <vt:lpstr>FS Modelling(Q)</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樟树好</cp:lastModifiedBy>
  <dcterms:created xsi:type="dcterms:W3CDTF">2024-11-09T05:23:00Z</dcterms:created>
  <dcterms:modified xsi:type="dcterms:W3CDTF">2025-09-21T22:53:49Z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C9E5A393-76F0-43EF-BE26-F89EF3E3AC9D</vt:lpwstr>
  </property>
  <property fmtid="{D5CDD505-2E9C-101B-9397-08002B2CF9AE}" pid="3" name="ICV">
    <vt:lpwstr>255C02117B34457DA69336BF82DD4EC3_12</vt:lpwstr>
  </property>
  <property fmtid="{D5CDD505-2E9C-101B-9397-08002B2CF9AE}" pid="4" name="KSOProductBuildVer">
    <vt:lpwstr>2052-12.1.0.22529</vt:lpwstr>
  </property>
</Properties>
</file>