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24226"/>
  <mc:AlternateContent xmlns:mc="http://schemas.openxmlformats.org/markup-compatibility/2006">
    <mc:Choice Requires="x15">
      <x15ac:absPath xmlns:x15ac="http://schemas.microsoft.com/office/spreadsheetml/2010/11/ac" url="C:\Users\chandrashekhark\Desktop\POrtfolio\"/>
    </mc:Choice>
  </mc:AlternateContent>
  <xr:revisionPtr revIDLastSave="0" documentId="13_ncr:1_{4520A8C9-5183-4FF1-8BCB-54CF4A743321}" xr6:coauthVersionLast="47" xr6:coauthVersionMax="47" xr10:uidLastSave="{00000000-0000-0000-0000-000000000000}"/>
  <bookViews>
    <workbookView xWindow="-120" yWindow="-120" windowWidth="20730" windowHeight="11160" xr2:uid="{00000000-000D-0000-FFFF-FFFF00000000}"/>
  </bookViews>
  <sheets>
    <sheet name="Index" sheetId="42" r:id="rId1"/>
    <sheet name="EDACBF" sheetId="1" r:id="rId2"/>
    <sheet name="EDBE23" sheetId="2" r:id="rId3"/>
    <sheet name="EDBE25" sheetId="3" r:id="rId4"/>
    <sheet name="EDBE30" sheetId="4" r:id="rId5"/>
    <sheet name="EDBE31" sheetId="5" r:id="rId6"/>
    <sheet name="EDBE32" sheetId="6" r:id="rId7"/>
    <sheet name="EDBPDF" sheetId="7" r:id="rId8"/>
    <sheet name="EDCPSF" sheetId="8" r:id="rId9"/>
    <sheet name="EDFF23" sheetId="9" r:id="rId10"/>
    <sheet name="EDFF25" sheetId="10" r:id="rId11"/>
    <sheet name="EDFF30" sheetId="11" r:id="rId12"/>
    <sheet name="EDFF31" sheetId="12" r:id="rId13"/>
    <sheet name="EDFF32" sheetId="13" r:id="rId14"/>
    <sheet name="EDGSEC" sheetId="14" r:id="rId15"/>
    <sheet name="EDNP27" sheetId="15" r:id="rId16"/>
    <sheet name="EDNPSF" sheetId="16" r:id="rId17"/>
    <sheet name="EDONTF" sheetId="17" r:id="rId18"/>
    <sheet name="EEARBF" sheetId="18" r:id="rId19"/>
    <sheet name="EEARFD" sheetId="19" r:id="rId20"/>
    <sheet name="EEDGEF" sheetId="20" r:id="rId21"/>
    <sheet name="EEELSS" sheetId="22" r:id="rId22"/>
    <sheet name="EEECRF" sheetId="21" r:id="rId23"/>
    <sheet name="EEEQTF" sheetId="23" r:id="rId24"/>
    <sheet name="EEESCF" sheetId="24" r:id="rId25"/>
    <sheet name="EEESSF" sheetId="25" r:id="rId26"/>
    <sheet name="EEIF30" sheetId="26" r:id="rId27"/>
    <sheet name="EEIF50" sheetId="27" r:id="rId28"/>
    <sheet name="EELMIF" sheetId="28" r:id="rId29"/>
    <sheet name="EEMOF1" sheetId="29" r:id="rId30"/>
    <sheet name="EENFBA" sheetId="30" r:id="rId31"/>
    <sheet name="EEPRUA" sheetId="31" r:id="rId32"/>
    <sheet name="EESMCF" sheetId="32" r:id="rId33"/>
    <sheet name="EFMS55" sheetId="33" r:id="rId34"/>
    <sheet name="ELLIQF" sheetId="34" r:id="rId35"/>
    <sheet name="EOASEF" sheetId="35" r:id="rId36"/>
    <sheet name="EOCHIF" sheetId="36" r:id="rId37"/>
    <sheet name="EODWHF" sheetId="37" r:id="rId38"/>
    <sheet name="EOEDOF" sheetId="38" r:id="rId39"/>
    <sheet name="EOEMOP" sheetId="39" r:id="rId40"/>
    <sheet name="EOUSEF" sheetId="40" r:id="rId41"/>
    <sheet name="EOUSTF" sheetId="41" r:id="rId42"/>
    <sheet name="Disclosure" sheetId="43" r:id="rId43"/>
  </sheets>
  <definedNames>
    <definedName name="_xlnm._FilterDatabase" localSheetId="42" hidden="1">Disclosure!$D$6:$J$253</definedName>
    <definedName name="_xlnm._FilterDatabase" localSheetId="1" hidden="1">EDACBF!$A$7:$P$52</definedName>
    <definedName name="_xlnm._FilterDatabase" localSheetId="2" hidden="1">EDBE23!$A$7:$P$67</definedName>
    <definedName name="_xlnm._FilterDatabase" localSheetId="3" hidden="1">EDBE25!$A$7:$P$80</definedName>
    <definedName name="_xlnm._FilterDatabase" localSheetId="4" hidden="1">EDBE30!$A$7:$P$81</definedName>
    <definedName name="_xlnm._FilterDatabase" localSheetId="5" hidden="1">EDBE31!$A$7:$P$61</definedName>
    <definedName name="_xlnm._FilterDatabase" localSheetId="6" hidden="1">EDBE32!$A$7:$P$46</definedName>
    <definedName name="_xlnm._FilterDatabase" localSheetId="7" hidden="1">EDBPDF!$A$7:$P$61</definedName>
    <definedName name="_xlnm._FilterDatabase" localSheetId="8" hidden="1">EDCPSF!$A$7:$P$56</definedName>
    <definedName name="_xlnm._FilterDatabase" localSheetId="9" hidden="1">EDFF23!$A$7:$P$24</definedName>
    <definedName name="_xlnm._FilterDatabase" localSheetId="10" hidden="1">EDFF25!$A$7:$P$25</definedName>
    <definedName name="_xlnm._FilterDatabase" localSheetId="11" hidden="1">EDFF30!$A$7:$P$25</definedName>
    <definedName name="_xlnm._FilterDatabase" localSheetId="12" hidden="1">EDFF31!$A$7:$P$24</definedName>
    <definedName name="_xlnm._FilterDatabase" localSheetId="13" hidden="1">EDFF32!$A$7:$P$24</definedName>
    <definedName name="_xlnm._FilterDatabase" localSheetId="14" hidden="1">EDGSEC!$A$7:$P$51</definedName>
    <definedName name="_xlnm._FilterDatabase" localSheetId="15" hidden="1">EDNP27!$A$7:$P$71</definedName>
    <definedName name="_xlnm._FilterDatabase" localSheetId="16" hidden="1">EDNPSF!$A$7:$P$105</definedName>
    <definedName name="_xlnm._FilterDatabase" localSheetId="17" hidden="1">EDONTF!$A$7:$P$19</definedName>
    <definedName name="_xlnm._FilterDatabase" localSheetId="18" hidden="1">EEARBF!$A$7:$P$432</definedName>
    <definedName name="_xlnm._FilterDatabase" localSheetId="19" hidden="1">EEARFD!$A$7:$P$250</definedName>
    <definedName name="_xlnm._FilterDatabase" localSheetId="20" hidden="1">EEDGEF!$A$7:$P$115</definedName>
    <definedName name="_xlnm._FilterDatabase" localSheetId="22" hidden="1">EEECRF!$A$7:$P$79</definedName>
    <definedName name="_xlnm._FilterDatabase" localSheetId="21" hidden="1">EEELSS!$A$7:$P$81</definedName>
    <definedName name="_xlnm._FilterDatabase" localSheetId="23" hidden="1">EEEQTF!$A$7:$P$88</definedName>
    <definedName name="_xlnm._FilterDatabase" localSheetId="24" hidden="1">EEESCF!$A$7:$P$98</definedName>
    <definedName name="_xlnm._FilterDatabase" localSheetId="25" hidden="1">EEESSF!$A$7:$P$180</definedName>
    <definedName name="_xlnm._FilterDatabase" localSheetId="26" hidden="1">EEIF30!$A$7:$P$66</definedName>
    <definedName name="_xlnm._FilterDatabase" localSheetId="27" hidden="1">EEIF50!$A$7:$P$87</definedName>
    <definedName name="_xlnm._FilterDatabase" localSheetId="28" hidden="1">EELMIF!$A$7:$P$272</definedName>
    <definedName name="_xlnm._FilterDatabase" localSheetId="29" hidden="1">EEMOF1!$A$7:$P$89</definedName>
    <definedName name="_xlnm._FilterDatabase" localSheetId="30" hidden="1">EENFBA!$A$7:$P$36</definedName>
    <definedName name="_xlnm._FilterDatabase" localSheetId="31" hidden="1">EEPRUA!$A$7:$P$132</definedName>
    <definedName name="_xlnm._FilterDatabase" localSheetId="32" hidden="1">EESMCF!$A$7:$P$82</definedName>
    <definedName name="_xlnm._FilterDatabase" localSheetId="33" hidden="1">EFMS55!$A$7:$P$48</definedName>
    <definedName name="_xlnm._FilterDatabase" localSheetId="34" hidden="1">ELLIQF!$A$7:$P$56</definedName>
    <definedName name="_xlnm._FilterDatabase" localSheetId="35" hidden="1">EOASEF!$A$7:$P$23</definedName>
    <definedName name="_xlnm._FilterDatabase" localSheetId="36" hidden="1">EOCHIF!$A$7:$P$23</definedName>
    <definedName name="_xlnm._FilterDatabase" localSheetId="37" hidden="1">EODWHF!$A$7:$P$72</definedName>
    <definedName name="_xlnm._FilterDatabase" localSheetId="38" hidden="1">EOEDOF!$A$7:$P$23</definedName>
    <definedName name="_xlnm._FilterDatabase" localSheetId="39" hidden="1">EOEMOP!$A$7:$P$23</definedName>
    <definedName name="_xlnm._FilterDatabase" localSheetId="40" hidden="1">EOUSEF!$A$7:$P$23</definedName>
    <definedName name="_xlnm._FilterDatabase" localSheetId="41" hidden="1">EOUSTF!$A$7:$P$23</definedName>
    <definedName name="Hedging_Positions_through_Futures_AS_ON_MMMM_DD__YYYY___NIL" localSheetId="2">EDBE23!#REF!</definedName>
    <definedName name="Hedging_Positions_through_Futures_AS_ON_MMMM_DD__YYYY___NIL" localSheetId="3">EDBE25!#REF!</definedName>
    <definedName name="Hedging_Positions_through_Futures_AS_ON_MMMM_DD__YYYY___NIL" localSheetId="4">EDBE30!#REF!</definedName>
    <definedName name="Hedging_Positions_through_Futures_AS_ON_MMMM_DD__YYYY___NIL" localSheetId="5">EDBE31!#REF!</definedName>
    <definedName name="Hedging_Positions_through_Futures_AS_ON_MMMM_DD__YYYY___NIL" localSheetId="6">EDBE32!#REF!</definedName>
    <definedName name="Hedging_Positions_through_Futures_AS_ON_MMMM_DD__YYYY___NIL" localSheetId="7">EDBPDF!#REF!</definedName>
    <definedName name="Hedging_Positions_through_Futures_AS_ON_MMMM_DD__YYYY___NIL" localSheetId="8">EDCPSF!#REF!</definedName>
    <definedName name="Hedging_Positions_through_Futures_AS_ON_MMMM_DD__YYYY___NIL" localSheetId="9">EDFF23!#REF!</definedName>
    <definedName name="Hedging_Positions_through_Futures_AS_ON_MMMM_DD__YYYY___NIL" localSheetId="10">EDFF25!#REF!</definedName>
    <definedName name="Hedging_Positions_through_Futures_AS_ON_MMMM_DD__YYYY___NIL" localSheetId="11">EDFF30!#REF!</definedName>
    <definedName name="Hedging_Positions_through_Futures_AS_ON_MMMM_DD__YYYY___NIL" localSheetId="12">EDFF31!#REF!</definedName>
    <definedName name="Hedging_Positions_through_Futures_AS_ON_MMMM_DD__YYYY___NIL" localSheetId="13">EDFF32!#REF!</definedName>
    <definedName name="Hedging_Positions_through_Futures_AS_ON_MMMM_DD__YYYY___NIL" localSheetId="14">EDGSEC!#REF!</definedName>
    <definedName name="Hedging_Positions_through_Futures_AS_ON_MMMM_DD__YYYY___NIL" localSheetId="15">EDNP27!#REF!</definedName>
    <definedName name="Hedging_Positions_through_Futures_AS_ON_MMMM_DD__YYYY___NIL" localSheetId="16">EDNPSF!#REF!</definedName>
    <definedName name="Hedging_Positions_through_Futures_AS_ON_MMMM_DD__YYYY___NIL" localSheetId="17">EDONTF!#REF!</definedName>
    <definedName name="Hedging_Positions_through_Futures_AS_ON_MMMM_DD__YYYY___NIL" localSheetId="18">EEARBF!#REF!</definedName>
    <definedName name="Hedging_Positions_through_Futures_AS_ON_MMMM_DD__YYYY___NIL" localSheetId="19">EEARFD!#REF!</definedName>
    <definedName name="Hedging_Positions_through_Futures_AS_ON_MMMM_DD__YYYY___NIL" localSheetId="20">EEDGEF!#REF!</definedName>
    <definedName name="Hedging_Positions_through_Futures_AS_ON_MMMM_DD__YYYY___NIL" localSheetId="22">EEECRF!#REF!</definedName>
    <definedName name="Hedging_Positions_through_Futures_AS_ON_MMMM_DD__YYYY___NIL" localSheetId="21">EEELSS!#REF!</definedName>
    <definedName name="Hedging_Positions_through_Futures_AS_ON_MMMM_DD__YYYY___NIL" localSheetId="23">EEEQTF!#REF!</definedName>
    <definedName name="Hedging_Positions_through_Futures_AS_ON_MMMM_DD__YYYY___NIL" localSheetId="24">EEESCF!#REF!</definedName>
    <definedName name="Hedging_Positions_through_Futures_AS_ON_MMMM_DD__YYYY___NIL" localSheetId="25">EEESSF!#REF!</definedName>
    <definedName name="Hedging_Positions_through_Futures_AS_ON_MMMM_DD__YYYY___NIL" localSheetId="26">EEIF30!#REF!</definedName>
    <definedName name="Hedging_Positions_through_Futures_AS_ON_MMMM_DD__YYYY___NIL" localSheetId="27">EEIF50!#REF!</definedName>
    <definedName name="Hedging_Positions_through_Futures_AS_ON_MMMM_DD__YYYY___NIL" localSheetId="28">EELMIF!#REF!</definedName>
    <definedName name="Hedging_Positions_through_Futures_AS_ON_MMMM_DD__YYYY___NIL" localSheetId="29">EEMOF1!#REF!</definedName>
    <definedName name="Hedging_Positions_through_Futures_AS_ON_MMMM_DD__YYYY___NIL" localSheetId="30">EENFBA!#REF!</definedName>
    <definedName name="Hedging_Positions_through_Futures_AS_ON_MMMM_DD__YYYY___NIL" localSheetId="31">EEPRUA!#REF!</definedName>
    <definedName name="Hedging_Positions_through_Futures_AS_ON_MMMM_DD__YYYY___NIL" localSheetId="32">EESMCF!#REF!</definedName>
    <definedName name="Hedging_Positions_through_Futures_AS_ON_MMMM_DD__YYYY___NIL" localSheetId="33">EFMS55!#REF!</definedName>
    <definedName name="Hedging_Positions_through_Futures_AS_ON_MMMM_DD__YYYY___NIL" localSheetId="34">ELLIQF!#REF!</definedName>
    <definedName name="Hedging_Positions_through_Futures_AS_ON_MMMM_DD__YYYY___NIL" localSheetId="35">EOASEF!#REF!</definedName>
    <definedName name="Hedging_Positions_through_Futures_AS_ON_MMMM_DD__YYYY___NIL" localSheetId="36">EOCHIF!#REF!</definedName>
    <definedName name="Hedging_Positions_through_Futures_AS_ON_MMMM_DD__YYYY___NIL" localSheetId="37">EODWHF!#REF!</definedName>
    <definedName name="Hedging_Positions_through_Futures_AS_ON_MMMM_DD__YYYY___NIL" localSheetId="38">EOEDOF!#REF!</definedName>
    <definedName name="Hedging_Positions_through_Futures_AS_ON_MMMM_DD__YYYY___NIL" localSheetId="39">EOEMOP!#REF!</definedName>
    <definedName name="Hedging_Positions_through_Futures_AS_ON_MMMM_DD__YYYY___NIL" localSheetId="40">EOUSEF!#REF!</definedName>
    <definedName name="Hedging_Positions_through_Futures_AS_ON_MMMM_DD__YYYY___NIL" localSheetId="41">EOUSTF!#REF!</definedName>
    <definedName name="Hedging_Positions_through_Futures_AS_ON_MMMM_DD__YYYY___NIL">EDACBF!#REF!</definedName>
    <definedName name="JPM_Footer_disp" localSheetId="2">EDBE23!#REF!</definedName>
    <definedName name="JPM_Footer_disp" localSheetId="3">EDBE25!#REF!</definedName>
    <definedName name="JPM_Footer_disp" localSheetId="4">EDBE30!#REF!</definedName>
    <definedName name="JPM_Footer_disp" localSheetId="5">EDBE31!#REF!</definedName>
    <definedName name="JPM_Footer_disp" localSheetId="6">EDBE32!#REF!</definedName>
    <definedName name="JPM_Footer_disp" localSheetId="7">EDBPDF!#REF!</definedName>
    <definedName name="JPM_Footer_disp" localSheetId="8">EDCPSF!#REF!</definedName>
    <definedName name="JPM_Footer_disp" localSheetId="9">EDFF23!#REF!</definedName>
    <definedName name="JPM_Footer_disp" localSheetId="10">EDFF25!#REF!</definedName>
    <definedName name="JPM_Footer_disp" localSheetId="11">EDFF30!#REF!</definedName>
    <definedName name="JPM_Footer_disp" localSheetId="12">EDFF31!#REF!</definedName>
    <definedName name="JPM_Footer_disp" localSheetId="13">EDFF32!#REF!</definedName>
    <definedName name="JPM_Footer_disp" localSheetId="14">EDGSEC!#REF!</definedName>
    <definedName name="JPM_Footer_disp" localSheetId="15">EDNP27!#REF!</definedName>
    <definedName name="JPM_Footer_disp" localSheetId="16">EDNPSF!#REF!</definedName>
    <definedName name="JPM_Footer_disp" localSheetId="17">EDONTF!#REF!</definedName>
    <definedName name="JPM_Footer_disp" localSheetId="18">EEARBF!#REF!</definedName>
    <definedName name="JPM_Footer_disp" localSheetId="19">EEARFD!#REF!</definedName>
    <definedName name="JPM_Footer_disp" localSheetId="20">EEDGEF!#REF!</definedName>
    <definedName name="JPM_Footer_disp" localSheetId="22">EEECRF!#REF!</definedName>
    <definedName name="JPM_Footer_disp" localSheetId="21">EEELSS!#REF!</definedName>
    <definedName name="JPM_Footer_disp" localSheetId="23">EEEQTF!#REF!</definedName>
    <definedName name="JPM_Footer_disp" localSheetId="24">EEESCF!#REF!</definedName>
    <definedName name="JPM_Footer_disp" localSheetId="25">EEESSF!#REF!</definedName>
    <definedName name="JPM_Footer_disp" localSheetId="26">EEIF30!#REF!</definedName>
    <definedName name="JPM_Footer_disp" localSheetId="27">EEIF50!#REF!</definedName>
    <definedName name="JPM_Footer_disp" localSheetId="28">EELMIF!#REF!</definedName>
    <definedName name="JPM_Footer_disp" localSheetId="29">EEMOF1!#REF!</definedName>
    <definedName name="JPM_Footer_disp" localSheetId="30">EENFBA!#REF!</definedName>
    <definedName name="JPM_Footer_disp" localSheetId="31">EEPRUA!#REF!</definedName>
    <definedName name="JPM_Footer_disp" localSheetId="32">EESMCF!#REF!</definedName>
    <definedName name="JPM_Footer_disp" localSheetId="33">EFMS55!#REF!</definedName>
    <definedName name="JPM_Footer_disp" localSheetId="34">ELLIQF!#REF!</definedName>
    <definedName name="JPM_Footer_disp" localSheetId="35">EOASEF!#REF!</definedName>
    <definedName name="JPM_Footer_disp" localSheetId="36">EOCHIF!#REF!</definedName>
    <definedName name="JPM_Footer_disp" localSheetId="37">EODWHF!#REF!</definedName>
    <definedName name="JPM_Footer_disp" localSheetId="38">EOEDOF!#REF!</definedName>
    <definedName name="JPM_Footer_disp" localSheetId="39">EOEMOP!#REF!</definedName>
    <definedName name="JPM_Footer_disp" localSheetId="40">EOUSEF!#REF!</definedName>
    <definedName name="JPM_Footer_disp" localSheetId="41">EOUSTF!#REF!</definedName>
    <definedName name="JPM_Footer_disp">EDACBF!#REF!</definedName>
    <definedName name="JPM_Footer_disp12" localSheetId="2">EDBE23!#REF!</definedName>
    <definedName name="JPM_Footer_disp12" localSheetId="3">EDBE25!#REF!</definedName>
    <definedName name="JPM_Footer_disp12" localSheetId="4">EDBE30!#REF!</definedName>
    <definedName name="JPM_Footer_disp12" localSheetId="5">EDBE31!#REF!</definedName>
    <definedName name="JPM_Footer_disp12" localSheetId="6">EDBE32!#REF!</definedName>
    <definedName name="JPM_Footer_disp12" localSheetId="7">EDBPDF!#REF!</definedName>
    <definedName name="JPM_Footer_disp12" localSheetId="8">EDCPSF!#REF!</definedName>
    <definedName name="JPM_Footer_disp12" localSheetId="9">EDFF23!#REF!</definedName>
    <definedName name="JPM_Footer_disp12" localSheetId="10">EDFF25!#REF!</definedName>
    <definedName name="JPM_Footer_disp12" localSheetId="11">EDFF30!#REF!</definedName>
    <definedName name="JPM_Footer_disp12" localSheetId="12">EDFF31!#REF!</definedName>
    <definedName name="JPM_Footer_disp12" localSheetId="13">EDFF32!#REF!</definedName>
    <definedName name="JPM_Footer_disp12" localSheetId="14">EDGSEC!#REF!</definedName>
    <definedName name="JPM_Footer_disp12" localSheetId="15">EDNP27!#REF!</definedName>
    <definedName name="JPM_Footer_disp12" localSheetId="16">EDNPSF!#REF!</definedName>
    <definedName name="JPM_Footer_disp12" localSheetId="17">EDONTF!#REF!</definedName>
    <definedName name="JPM_Footer_disp12" localSheetId="18">EEARBF!#REF!</definedName>
    <definedName name="JPM_Footer_disp12" localSheetId="19">EEARFD!#REF!</definedName>
    <definedName name="JPM_Footer_disp12" localSheetId="20">EEDGEF!#REF!</definedName>
    <definedName name="JPM_Footer_disp12" localSheetId="22">EEECRF!#REF!</definedName>
    <definedName name="JPM_Footer_disp12" localSheetId="21">EEELSS!#REF!</definedName>
    <definedName name="JPM_Footer_disp12" localSheetId="23">EEEQTF!#REF!</definedName>
    <definedName name="JPM_Footer_disp12" localSheetId="24">EEESCF!#REF!</definedName>
    <definedName name="JPM_Footer_disp12" localSheetId="25">EEESSF!#REF!</definedName>
    <definedName name="JPM_Footer_disp12" localSheetId="26">EEIF30!#REF!</definedName>
    <definedName name="JPM_Footer_disp12" localSheetId="27">EEIF50!#REF!</definedName>
    <definedName name="JPM_Footer_disp12" localSheetId="28">EELMIF!#REF!</definedName>
    <definedName name="JPM_Footer_disp12" localSheetId="29">EEMOF1!#REF!</definedName>
    <definedName name="JPM_Footer_disp12" localSheetId="30">EENFBA!#REF!</definedName>
    <definedName name="JPM_Footer_disp12" localSheetId="31">EEPRUA!#REF!</definedName>
    <definedName name="JPM_Footer_disp12" localSheetId="32">EESMCF!#REF!</definedName>
    <definedName name="JPM_Footer_disp12" localSheetId="33">EFMS55!#REF!</definedName>
    <definedName name="JPM_Footer_disp12" localSheetId="34">ELLIQF!#REF!</definedName>
    <definedName name="JPM_Footer_disp12" localSheetId="35">EOASEF!#REF!</definedName>
    <definedName name="JPM_Footer_disp12" localSheetId="36">EOCHIF!#REF!</definedName>
    <definedName name="JPM_Footer_disp12" localSheetId="37">EODWHF!#REF!</definedName>
    <definedName name="JPM_Footer_disp12" localSheetId="38">EOEDOF!#REF!</definedName>
    <definedName name="JPM_Footer_disp12" localSheetId="39">EOEMOP!#REF!</definedName>
    <definedName name="JPM_Footer_disp12" localSheetId="40">EOUSEF!#REF!</definedName>
    <definedName name="JPM_Footer_disp12" localSheetId="41">EOUSTF!#REF!</definedName>
    <definedName name="JPM_Footer_disp12">EDACBF!#REF!</definedName>
    <definedName name="_xlnm.Print_Area" localSheetId="42">Disclosure!$B$2:$L$340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6" i="42" l="1"/>
  <c r="M2" i="43"/>
  <c r="P315" i="43"/>
  <c r="Q315" i="43" s="1"/>
  <c r="J315" i="43" s="1"/>
  <c r="P314" i="43"/>
  <c r="Q314" i="43" s="1"/>
  <c r="J314" i="43" s="1"/>
  <c r="P313" i="43"/>
  <c r="Q313" i="43" s="1"/>
  <c r="J313" i="43" s="1"/>
  <c r="P312" i="43"/>
  <c r="Q312" i="43" s="1"/>
  <c r="J312" i="43" s="1"/>
  <c r="P311" i="43"/>
  <c r="Q311" i="43" s="1"/>
  <c r="J311" i="43" s="1"/>
  <c r="P310" i="43"/>
  <c r="Q310" i="43" s="1"/>
  <c r="J310" i="43" s="1"/>
  <c r="P294" i="43"/>
  <c r="Q294" i="43" s="1"/>
  <c r="K294" i="43" s="1"/>
  <c r="P293" i="43"/>
  <c r="Q293" i="43" s="1"/>
  <c r="K293" i="43" s="1"/>
  <c r="P292" i="43"/>
  <c r="Q292" i="43" s="1"/>
  <c r="K292" i="43" s="1"/>
  <c r="P291" i="43"/>
  <c r="Q291" i="43" s="1"/>
  <c r="K291" i="43" s="1"/>
  <c r="P290" i="43"/>
  <c r="Q290" i="43" s="1"/>
  <c r="K290" i="43" s="1"/>
  <c r="P289" i="43"/>
  <c r="Q289" i="43" s="1"/>
  <c r="K289" i="43" s="1"/>
  <c r="P288" i="43"/>
  <c r="Q288" i="43" s="1"/>
  <c r="K288" i="43" s="1"/>
  <c r="P287" i="43"/>
  <c r="Q287" i="43" s="1"/>
  <c r="K287" i="43" s="1"/>
  <c r="P286" i="43"/>
  <c r="Q286" i="43" s="1"/>
  <c r="K286" i="43" s="1"/>
  <c r="P285" i="43"/>
  <c r="Q285" i="43" s="1"/>
  <c r="K285" i="43" s="1"/>
  <c r="P284" i="43"/>
  <c r="Q284" i="43" s="1"/>
  <c r="K284" i="43" s="1"/>
  <c r="P283" i="43"/>
  <c r="Q283" i="43" s="1"/>
  <c r="K283" i="43" s="1"/>
  <c r="P282" i="43"/>
  <c r="Q282" i="43" s="1"/>
  <c r="K282" i="43" s="1"/>
  <c r="P281" i="43"/>
  <c r="Q281" i="43" s="1"/>
  <c r="K281" i="43" s="1"/>
  <c r="P280" i="43"/>
  <c r="Q280" i="43" s="1"/>
  <c r="K280" i="43" s="1"/>
  <c r="P279" i="43"/>
  <c r="Q279" i="43" s="1"/>
  <c r="K279" i="43" s="1"/>
  <c r="P278" i="43"/>
  <c r="Q278" i="43" s="1"/>
  <c r="K278" i="43" s="1"/>
  <c r="P277" i="43"/>
  <c r="Q277" i="43" s="1"/>
  <c r="K277" i="43" s="1"/>
  <c r="P276" i="43"/>
  <c r="Q276" i="43" s="1"/>
  <c r="K276" i="43" s="1"/>
  <c r="P275" i="43"/>
  <c r="Q275" i="43" s="1"/>
  <c r="K275" i="43" s="1"/>
  <c r="P274" i="43"/>
  <c r="Q274" i="43" s="1"/>
  <c r="K274" i="43" s="1"/>
  <c r="P273" i="43"/>
  <c r="Q273" i="43" s="1"/>
  <c r="K273" i="43" s="1"/>
  <c r="P272" i="43"/>
  <c r="Q272" i="43" s="1"/>
  <c r="K272" i="43" s="1"/>
  <c r="P271" i="43"/>
  <c r="Q271" i="43" s="1"/>
  <c r="K271" i="43" s="1"/>
  <c r="O253" i="43"/>
  <c r="O252" i="43"/>
  <c r="O251" i="43"/>
  <c r="O250" i="43"/>
  <c r="O249" i="43"/>
  <c r="O248" i="43"/>
  <c r="O247" i="43"/>
  <c r="O246" i="43"/>
  <c r="O245" i="43"/>
  <c r="O244" i="43"/>
  <c r="O243" i="43"/>
  <c r="O242" i="43"/>
  <c r="O241" i="43"/>
  <c r="O240" i="43"/>
  <c r="O239" i="43"/>
  <c r="O238" i="43"/>
  <c r="O237" i="43"/>
  <c r="O236" i="43"/>
  <c r="P259" i="43" s="1"/>
  <c r="Q259" i="43" s="1"/>
  <c r="O205" i="43"/>
  <c r="O204" i="43"/>
  <c r="O203" i="43"/>
  <c r="O202" i="43"/>
  <c r="O201" i="43"/>
  <c r="O200" i="43"/>
  <c r="O199" i="43"/>
  <c r="O198" i="43"/>
  <c r="O197" i="43"/>
  <c r="O196" i="43"/>
  <c r="O195" i="43"/>
  <c r="O194" i="43"/>
  <c r="O193" i="43"/>
  <c r="O192" i="43"/>
  <c r="O191" i="43"/>
  <c r="O190" i="43"/>
  <c r="P258" i="43" s="1"/>
  <c r="Q258" i="43" s="1"/>
  <c r="O189" i="43"/>
  <c r="O188" i="43"/>
  <c r="O187" i="43"/>
  <c r="O186" i="43"/>
  <c r="O185" i="43"/>
  <c r="O184" i="43"/>
  <c r="O183" i="43"/>
  <c r="O182" i="43"/>
  <c r="O181" i="43"/>
  <c r="O180" i="43"/>
  <c r="O179" i="43"/>
  <c r="O178" i="43"/>
  <c r="O177" i="43"/>
  <c r="O176" i="43"/>
  <c r="O175" i="43"/>
  <c r="O174" i="43"/>
  <c r="O173" i="43"/>
  <c r="O172" i="43"/>
  <c r="O171" i="43"/>
  <c r="O170" i="43"/>
  <c r="O169" i="43"/>
  <c r="O168" i="43"/>
  <c r="O167" i="43"/>
  <c r="O166" i="43"/>
  <c r="O165" i="43"/>
  <c r="O164" i="43"/>
  <c r="O163" i="43"/>
  <c r="O162" i="43"/>
  <c r="O161" i="43"/>
  <c r="O160" i="43"/>
  <c r="O159" i="43"/>
  <c r="O158" i="43"/>
  <c r="O157" i="43"/>
  <c r="O156" i="43"/>
  <c r="O155" i="43"/>
  <c r="O154" i="43"/>
  <c r="O153" i="43"/>
  <c r="O152" i="43"/>
  <c r="O151" i="43"/>
  <c r="O150" i="43"/>
  <c r="O149" i="43"/>
  <c r="O148" i="43"/>
  <c r="O147" i="43"/>
  <c r="O146" i="43"/>
  <c r="O145" i="43"/>
  <c r="O144" i="43"/>
  <c r="O143" i="43"/>
  <c r="O142" i="43"/>
  <c r="O141" i="43"/>
  <c r="O140" i="43"/>
  <c r="O139" i="43"/>
  <c r="O138" i="43"/>
  <c r="O137" i="43"/>
  <c r="O136" i="43"/>
  <c r="O135" i="43"/>
  <c r="O134" i="43"/>
  <c r="O133" i="43"/>
  <c r="O132" i="43"/>
  <c r="O131" i="43"/>
  <c r="O130" i="43"/>
  <c r="O129" i="43"/>
  <c r="O128" i="43"/>
  <c r="O127" i="43"/>
  <c r="O126" i="43"/>
  <c r="O125" i="43"/>
  <c r="O124" i="43"/>
  <c r="O123" i="43"/>
  <c r="O122" i="43"/>
  <c r="O121" i="43"/>
  <c r="O120" i="43"/>
  <c r="O119" i="43"/>
  <c r="O118" i="43"/>
  <c r="O117" i="43"/>
  <c r="O116" i="43"/>
  <c r="O115" i="43"/>
  <c r="O114" i="43"/>
  <c r="O113" i="43"/>
  <c r="O112" i="43"/>
  <c r="O111" i="43"/>
  <c r="O110" i="43"/>
  <c r="O109" i="43"/>
  <c r="O108" i="43"/>
  <c r="O107" i="43"/>
  <c r="O106" i="43"/>
  <c r="O105" i="43"/>
  <c r="O104" i="43"/>
  <c r="O103" i="43"/>
  <c r="O102" i="43"/>
  <c r="O101" i="43"/>
  <c r="O100" i="43"/>
  <c r="O99" i="43"/>
  <c r="O98" i="43"/>
  <c r="O97" i="43"/>
  <c r="O96" i="43"/>
  <c r="O95" i="43"/>
  <c r="O94" i="43"/>
  <c r="O93" i="43"/>
  <c r="O92" i="43"/>
  <c r="O91" i="43"/>
  <c r="O90" i="43"/>
  <c r="O89" i="43"/>
  <c r="O88" i="43"/>
  <c r="O87" i="43"/>
  <c r="O86" i="43"/>
  <c r="O85" i="43"/>
  <c r="O84" i="43"/>
  <c r="O83" i="43"/>
  <c r="O82" i="43"/>
  <c r="O81" i="43"/>
  <c r="O80" i="43"/>
  <c r="O79" i="43"/>
  <c r="O78" i="43"/>
  <c r="O77" i="43"/>
  <c r="O76" i="43"/>
  <c r="O75" i="43"/>
  <c r="O74" i="43"/>
  <c r="O73" i="43"/>
  <c r="O72" i="43"/>
  <c r="O71" i="43"/>
  <c r="O70" i="43"/>
  <c r="O69" i="43"/>
  <c r="O68" i="43"/>
  <c r="O67" i="43"/>
  <c r="O66" i="43"/>
  <c r="O65" i="43"/>
  <c r="O64" i="43"/>
  <c r="O63" i="43"/>
  <c r="O62" i="43"/>
  <c r="O61" i="43"/>
  <c r="O60" i="43"/>
  <c r="O59" i="43"/>
  <c r="O58" i="43"/>
  <c r="O57" i="43"/>
  <c r="O56" i="43"/>
  <c r="O55" i="43"/>
  <c r="O54" i="43"/>
  <c r="O53" i="43"/>
  <c r="O52" i="43"/>
  <c r="O51" i="43"/>
  <c r="O50" i="43"/>
  <c r="O49" i="43"/>
  <c r="O48" i="43"/>
  <c r="O47" i="43"/>
  <c r="O46" i="43"/>
  <c r="O45" i="43"/>
  <c r="O44" i="43"/>
  <c r="O43" i="43"/>
  <c r="O42" i="43"/>
  <c r="O41" i="43"/>
  <c r="O40" i="43"/>
  <c r="O39" i="43"/>
  <c r="O38" i="43"/>
  <c r="O37" i="43"/>
  <c r="O36" i="43"/>
  <c r="O35" i="43"/>
  <c r="O34" i="43"/>
  <c r="O33" i="43"/>
  <c r="O32" i="43"/>
  <c r="O31" i="43"/>
  <c r="O30" i="43"/>
  <c r="O29" i="43"/>
  <c r="O28" i="43"/>
  <c r="O27" i="43"/>
  <c r="O26" i="43"/>
  <c r="O25" i="43"/>
  <c r="O24" i="43"/>
  <c r="O23" i="43"/>
  <c r="O22" i="43"/>
  <c r="O21" i="43"/>
  <c r="O20" i="43"/>
  <c r="O19" i="43"/>
  <c r="O18" i="43"/>
  <c r="O17" i="43"/>
  <c r="O16" i="43"/>
  <c r="O15" i="43"/>
  <c r="O14" i="43"/>
  <c r="O13" i="43"/>
  <c r="O12" i="43"/>
  <c r="O11" i="43"/>
  <c r="O10" i="43"/>
  <c r="O9" i="43"/>
  <c r="P257" i="43" s="1"/>
  <c r="Q257" i="43" s="1"/>
  <c r="O8" i="43"/>
  <c r="O7" i="43"/>
  <c r="H3" i="1"/>
  <c r="H3" i="2"/>
  <c r="H3" i="3"/>
  <c r="H3" i="4"/>
  <c r="H3" i="5"/>
  <c r="H3" i="6"/>
  <c r="H3" i="7"/>
  <c r="H3" i="8"/>
  <c r="H3" i="9"/>
  <c r="H3" i="10"/>
  <c r="H3" i="11"/>
  <c r="H3" i="12"/>
  <c r="H3" i="13"/>
  <c r="H3" i="14"/>
  <c r="H3" i="15"/>
  <c r="H3" i="16"/>
  <c r="H3" i="17"/>
  <c r="H3" i="18"/>
  <c r="H3" i="19"/>
  <c r="H3" i="20"/>
  <c r="H3" i="22"/>
  <c r="H3" i="21"/>
  <c r="H3" i="23"/>
  <c r="H3" i="24"/>
  <c r="H3" i="25"/>
  <c r="H3" i="26"/>
  <c r="H3" i="27" l="1"/>
  <c r="H3" i="28"/>
  <c r="H3" i="29"/>
  <c r="H3" i="30"/>
  <c r="H3" i="31"/>
  <c r="H3" i="32"/>
  <c r="H3" i="33"/>
  <c r="H3" i="34"/>
  <c r="H3" i="35"/>
  <c r="H3" i="36"/>
  <c r="H3" i="37"/>
  <c r="H3" i="38"/>
  <c r="H3" i="39"/>
  <c r="H3" i="40"/>
  <c r="H3" i="41"/>
  <c r="B45" i="42"/>
  <c r="B44" i="42"/>
  <c r="B43" i="42"/>
  <c r="B42" i="42"/>
  <c r="B41" i="42"/>
  <c r="B40" i="42"/>
  <c r="B39" i="42"/>
  <c r="B38" i="42"/>
  <c r="B37" i="42"/>
  <c r="B36" i="42"/>
  <c r="B35" i="42"/>
  <c r="B34" i="42"/>
  <c r="B33" i="42"/>
  <c r="B32" i="42"/>
  <c r="B31" i="42"/>
  <c r="B30" i="42"/>
  <c r="B29" i="42"/>
  <c r="B28" i="42"/>
  <c r="B27" i="42"/>
  <c r="B26" i="42"/>
  <c r="B25" i="42"/>
  <c r="B24" i="42"/>
  <c r="B23" i="42"/>
  <c r="B22" i="42"/>
  <c r="B21" i="42"/>
  <c r="B20" i="42"/>
  <c r="B19" i="42"/>
  <c r="B18" i="42"/>
  <c r="B17" i="42"/>
  <c r="B16" i="42"/>
  <c r="B15" i="42"/>
  <c r="B14" i="42"/>
  <c r="B13" i="42"/>
  <c r="B12" i="42"/>
  <c r="B11" i="42"/>
  <c r="B10" i="42"/>
  <c r="B9" i="42"/>
  <c r="B8" i="42"/>
  <c r="B7" i="42"/>
  <c r="B6" i="42"/>
  <c r="B5" i="42"/>
  <c r="A48" i="41" l="1"/>
  <c r="A48" i="40"/>
  <c r="A47" i="39"/>
  <c r="A48" i="38"/>
  <c r="A98" i="37"/>
  <c r="A47" i="36"/>
  <c r="A48" i="35"/>
  <c r="A124" i="34"/>
  <c r="A75" i="33"/>
  <c r="A114" i="32"/>
  <c r="A168" i="31"/>
  <c r="A61" i="30"/>
  <c r="A116" i="29"/>
  <c r="A299" i="28"/>
  <c r="A117" i="27"/>
  <c r="A94" i="26"/>
  <c r="A218" i="25"/>
  <c r="A130" i="24"/>
  <c r="A120" i="23"/>
  <c r="A112" i="22"/>
  <c r="A110" i="21"/>
  <c r="A151" i="20"/>
  <c r="A290" i="19"/>
  <c r="A463" i="18"/>
  <c r="A70" i="17" l="1"/>
  <c r="A133" i="16"/>
  <c r="A100" i="15"/>
  <c r="A96" i="14"/>
  <c r="A51" i="13"/>
  <c r="A50" i="12"/>
  <c r="A52" i="11"/>
  <c r="A52" i="10"/>
  <c r="A50" i="9"/>
  <c r="A110" i="7"/>
  <c r="A73" i="6"/>
  <c r="A87" i="5"/>
  <c r="A105" i="4"/>
  <c r="A105" i="3"/>
  <c r="A93" i="2"/>
  <c r="A89" i="1"/>
  <c r="F61" i="37" l="1"/>
  <c r="E61" i="37"/>
  <c r="F35" i="37"/>
  <c r="E35" i="37"/>
</calcChain>
</file>

<file path=xl/sharedStrings.xml><?xml version="1.0" encoding="utf-8"?>
<sst xmlns="http://schemas.openxmlformats.org/spreadsheetml/2006/main" count="9354" uniqueCount="2341">
  <si>
    <t>Name of the Instrument</t>
  </si>
  <si>
    <t>ISIN</t>
  </si>
  <si>
    <t>Quantity</t>
  </si>
  <si>
    <t>% to Net Assets</t>
  </si>
  <si>
    <t>Market/Fair Value(Rs. In Lacs)</t>
  </si>
  <si>
    <t>Rating/Industry</t>
  </si>
  <si>
    <t>YIELD</t>
  </si>
  <si>
    <t>PORTFOLIO STATEMENT OF EDELWEISS MONEY MARKET FUND AS ON MARCH 31, 2022</t>
  </si>
  <si>
    <t>(An open-ended debt scheme investing in money market instruments)</t>
  </si>
  <si>
    <t>PORTFOLIO STATEMENT OF BHARAT BOND ETF – APRIL 2023 AS ON MARCH 31, 2022</t>
  </si>
  <si>
    <t>(An open ended Target Maturity Exchange Traded Bond Fund predominately investing in constituents of 
Nifty BHARAT Bond Index - April 2023)</t>
  </si>
  <si>
    <t>PORTFOLIO STATEMENT OF BHARAT BOND ETF – APRIL 2025 AS ON MARCH 31, 2022</t>
  </si>
  <si>
    <t>(An open ended Target Maturity Exchange Traded Bond Fund predominantly investing in constituents of Nifty BHARAT Bond Index - April 2025)</t>
  </si>
  <si>
    <t>PORTFOLIO STATEMENT OF BHARAT BOND ETF – APRIL 2030 AS ON MARCH 31, 2022</t>
  </si>
  <si>
    <t>(An open ended Target Maturity Exchange Traded Bond Fund predominately investing in constituents of Nifty BHARAT Bond Index - April 2030)</t>
  </si>
  <si>
    <t>PORTFOLIO STATEMENT OF BHARAT BOND ETF – APRIL 2031 AS ON MARCH 31, 2022</t>
  </si>
  <si>
    <t>(An open ended Target Maturity Exchange Traded Bond Fund predominantly investing in constituents of Nifty BHARAT Bond Index - April 2031)</t>
  </si>
  <si>
    <t>PORTFOLIO STATEMENT OF BHARAT BOND ETF – APRIL 2032 AS ON MARCH 31, 2022</t>
  </si>
  <si>
    <t>(An open ended Target Maturity Exchange Traded Bond Fund predominantly investing in constituents of Nifty BHARAT Bond Index - April 2032)</t>
  </si>
  <si>
    <t>PORTFOLIO STATEMENT OF EDELWEISS  BANKING AND PSU DEBT FUND AS ON MARCH 31, 2022</t>
  </si>
  <si>
    <t>(An open ended debt scheme predominantly investing in Debt Instruments of Banks, Public Sector Undertakings,
Public Financial Institutions and Municipal Bonds.)</t>
  </si>
  <si>
    <t>PORTFOLIO STATEMENT OF EDELWEISS CRL PSU PL SDL 50:50 OCT-25 FD AS ON MARCH 31, 2022</t>
  </si>
  <si>
    <t>(An open-ended target maturity Index Fund investing in the constituents of CRISIL [IBX] 50:50 PSU + SDL Index – October 2025. A moderate interest rate risk and relatively low credit risk.)</t>
  </si>
  <si>
    <t>PORTFOLIO STATEMENT OF BHARAT BOND FOF – APRIL 2023 AS ON MARCH 31, 2022</t>
  </si>
  <si>
    <t>(An open-ended Target Maturity fund of funds scheme investing in units of BHARAT Bond ETF – April 2023)</t>
  </si>
  <si>
    <t>PORTFOLIO STATEMENT OF BHARAT BOND FOF – APRIL 2025 AS ON MARCH 31, 2022</t>
  </si>
  <si>
    <t>(An open-ended Target Maturity fund of funds scheme investing in units of BHARAT Bond ETF – April 2025)</t>
  </si>
  <si>
    <t>PORTFOLIO STATEMENT OF BHARAT BOND FOF – APRIL 2030 AS ON MARCH 31, 2022</t>
  </si>
  <si>
    <t>(An open-ended Target Maturity fund of funds scheme investing in units of BHARAT Bond ETF – April 2030)</t>
  </si>
  <si>
    <t>PORTFOLIO STATEMENT OF BHARAT BOND FOF – APRIL 2031 AS ON MARCH 31, 2022</t>
  </si>
  <si>
    <t>(An open-ended Target Maturity fund of funds scheme investing in units of BHARAT Bond ETF – April 2031)</t>
  </si>
  <si>
    <t>(An open-ended Target Maturity fund of funds scheme investing in units of BHARAT Bond ETF – April 2032)</t>
  </si>
  <si>
    <t>PORTFOLIO STATEMENT OF EDELWEISS  GOVERNMENT SECURITIES FUND AS ON MARCH 31, 2022</t>
  </si>
  <si>
    <t>(An open ended debt scheme investing in government securities across maturity)</t>
  </si>
  <si>
    <t>PORTFOLIO STATEMENT OF EDELWEISS NY PSU BD PL SDL IDX FUND-2027 AS ON MARCH 31, 2022</t>
  </si>
  <si>
    <t>PORTFOLIO STATEMENT OF EDELWEISS NIFTY PSU BOND PLUS SDL INDEX FUND – 2026 AS ON MARCH 31, 2022</t>
  </si>
  <si>
    <t>PORTFOLIO STATEMENT OF EDELWEISS OVERNIGHT FUND AS ON MARCH 31, 2022</t>
  </si>
  <si>
    <t>(An open-ended debt scheme investing in overnight instruments.)</t>
  </si>
  <si>
    <t>PORTFOLIO STATEMENT OF EDELWEISS ARBITRAGE FUND AS ON MARCH 31, 2022</t>
  </si>
  <si>
    <t>(An open ended scheme investing in arbitrage opportunities)</t>
  </si>
  <si>
    <t>PORTFOLIO STATEMENT OF EDELWEISS BALANCED ADVANTAGE FUND AS ON MARCH 31, 2022</t>
  </si>
  <si>
    <t>(An open ended dynamic asset allocation fund)</t>
  </si>
  <si>
    <t>PORTFOLIO STATEMENT OF EDELWEISS LARGE CAP FUND AS ON MARCH 31, 2022</t>
  </si>
  <si>
    <t>(An open ended equity scheme predominantly investing in large cap stocks)</t>
  </si>
  <si>
    <t>PORTFOLIO STATEMENT OF EDELWEISS FLEXI-CAP FUND AS ON MARCH 31, 2022</t>
  </si>
  <si>
    <t>(An open ended dynamic equity scheme investing across large cap, mid cap, small cap stocks)</t>
  </si>
  <si>
    <t>(An open ended equity linked saving scheme with a statutory lock in of 3 years and tax benefit)</t>
  </si>
  <si>
    <t>PORTFOLIO STATEMENT OF EDELWEISS LARGE &amp; MID CAP FUND AS ON MARCH 31, 2022</t>
  </si>
  <si>
    <t>(An open ended equity scheme investing in both large cap and mid cap stocks)</t>
  </si>
  <si>
    <t>PORTFOLIO STATEMENT OF EDELWEISS SMALL CAP FUND AS ON MARCH 31, 2022</t>
  </si>
  <si>
    <t>(An open ended scheme predominantly investing in small cap stocks)</t>
  </si>
  <si>
    <t>PORTFOLIO STATEMENT OF EDELWEISS EQUITY SAVINGS FUND AS ON MARCH 31, 2022</t>
  </si>
  <si>
    <t>(An Open ended scheme investing in equity, arbitrage and debt)</t>
  </si>
  <si>
    <t>(An open ended scheme replicating Nifty 100 Quality 30 Index)</t>
  </si>
  <si>
    <t>PORTFOLIO STATEMENT OF EDELWEISS NIFTY 50 INDEX FUND AS ON MARCH 31, 2022</t>
  </si>
  <si>
    <t>(An open ended scheme replicating Nifty 50 Index)</t>
  </si>
  <si>
    <t>PORTFOLIO STATEMENT OF EDELWEISS LARGE &amp; MIDCAP INDEX FUND AS ON MARCH 31, 2022</t>
  </si>
  <si>
    <t>(An Open-ended Equity Scheme replicating Nifty LargeMidcap 250 Index)</t>
  </si>
  <si>
    <t>PORTFOLIO STATEMENT OF EDELWEISS RECENTLY LISTED IPO FUND AS ON MARCH 31, 2022</t>
  </si>
  <si>
    <t>(An open ended equity scheme following investment theme of investing in recently listed 100 companies or upcoming Initial Public Offer (IPOs).)</t>
  </si>
  <si>
    <t>PORTFOLIO STATEMENT OF EDELWEISS ETF - NIFTY BANK AS ON MARCH 31, 2022</t>
  </si>
  <si>
    <t>(An open ended scheme tracking Nifty Bank Index)</t>
  </si>
  <si>
    <t>PORTFOLIO STATEMENT OF EDELWEISS AGGRESSIVE HYBRID FUND AS ON MARCH 31, 2022</t>
  </si>
  <si>
    <t>(An open ended hybrid scheme investing predominantly in equity and equity related instruments)</t>
  </si>
  <si>
    <t>PORTFOLIO STATEMENT OF EDELWEISS MID CAP FUND AS ON MARCH 31, 2022</t>
  </si>
  <si>
    <t>(An open ended equity scheme predominantly investing in mid cap stocks)</t>
  </si>
  <si>
    <t>PORTFOLIO STATEMENT OF EDELWEISS  FIXED MATURITY PLAN - SERIES 55 AS ON MARCH 31, 2022</t>
  </si>
  <si>
    <t>(A 38 Month Close ended Income Scheme)</t>
  </si>
  <si>
    <t>PORTFOLIO STATEMENT OF EDELWEISS  LIQUID FUND AS ON MARCH 31, 2022</t>
  </si>
  <si>
    <t>(An open-ended liquid scheme)</t>
  </si>
  <si>
    <t>PORTFOLIO STATEMENT OF EDELWEISS  ASEAN EQUITY OFF-SHORE FUND AS ON MARCH 31, 2022</t>
  </si>
  <si>
    <t>(An open ended fund of fund scheme investing in JPMorgan Funds – ASEAN Equity Fund)</t>
  </si>
  <si>
    <t>PORTFOLIO STATEMENT OF EDELWEISS  GREATER CHINA EQUITY OFF-SHORE FUND AS ON MARCH 31, 2022</t>
  </si>
  <si>
    <t>(An open ended fund of fund scheme investing in JPMorgan Funds – Greater China Fund)</t>
  </si>
  <si>
    <t>PORTFOLIO STATEMENT OF EDELWEISS MSCI INDIA DOMESTIC &amp; WORLD HEALTHCARE 45 INDEX AS ON MARCH 31, 2022</t>
  </si>
  <si>
    <t>(An Open-ended Equity Scheme replicating MSCI India Domestic &amp; World Healthcare 45 Index)</t>
  </si>
  <si>
    <t>PORTFOLIO STATEMENT OF EDELWEISS  EUROPE DYNAMIC EQUITY OFF-SHORE FUND AS ON MARCH 31, 2022</t>
  </si>
  <si>
    <t>(An open ended fund of fund scheme investing in JPMorgan Funds – Europe Dynamic Fund)</t>
  </si>
  <si>
    <t>PORTFOLIO STATEMENT OF EDELWEISS  EMERGING MARKETS OPPORTUNITIES EQUITY OFF-SHORE FUND AS ON MARCH 31, 2022</t>
  </si>
  <si>
    <t>(An open ended fund of fund scheme investing in JPMorgan Funds – Emerging Market Opportunities Fund)</t>
  </si>
  <si>
    <t>PORTFOLIO STATEMENT OF EDELWEISS  US VALUE EQUITY OFF-SHORE FUND AS ON MARCH 31, 2022</t>
  </si>
  <si>
    <t>(An open ended fund of fund scheme investing in JPMorgan Funds – US Value Fund)</t>
  </si>
  <si>
    <t>PORTFOLIO STATEMENT OF EDELWEISS  US TECHNOLOGY EQUITY FOF AS ON MARCH 31, 2022</t>
  </si>
  <si>
    <t>(An open ended fund of fund scheme investing in JPMorgan Funds – US TECHNOLOGY EQUITY FOF)</t>
  </si>
  <si>
    <t>Equity &amp; Equity related</t>
  </si>
  <si>
    <t>NIL</t>
  </si>
  <si>
    <t>Debt Instruments</t>
  </si>
  <si>
    <t>(a)Listed / Awaiting listing on stock Exchanges</t>
  </si>
  <si>
    <t>INE027E07907</t>
  </si>
  <si>
    <t>CARE AAA</t>
  </si>
  <si>
    <t>Sub Total</t>
  </si>
  <si>
    <t>(b)Privately Placed/Unlisted</t>
  </si>
  <si>
    <t>(c)Securitised Debt Instruments</t>
  </si>
  <si>
    <t>TOTAL</t>
  </si>
  <si>
    <t>Money Market Instruments</t>
  </si>
  <si>
    <t>Certificate of Deposit</t>
  </si>
  <si>
    <t>INE238A164X2</t>
  </si>
  <si>
    <t>CRISIL A1+</t>
  </si>
  <si>
    <t>INE040A16CI5</t>
  </si>
  <si>
    <t>CARE A1+</t>
  </si>
  <si>
    <t>INE476A16ST4</t>
  </si>
  <si>
    <t>INE237A168N5</t>
  </si>
  <si>
    <t>INE261F16652</t>
  </si>
  <si>
    <t>Commercial Paper</t>
  </si>
  <si>
    <t>INE982D14AF7</t>
  </si>
  <si>
    <t>INE700G14AX9</t>
  </si>
  <si>
    <t>INE763G14LN5</t>
  </si>
  <si>
    <t>INE110L14QI8</t>
  </si>
  <si>
    <t>INE121A14TP7</t>
  </si>
  <si>
    <t>INE115A14DI8</t>
  </si>
  <si>
    <t>TREPS / Reverse Repo</t>
  </si>
  <si>
    <t>Clearing Corporation of India Ltd.</t>
  </si>
  <si>
    <t>Accrued Interest</t>
  </si>
  <si>
    <t>Net Receivables/(Payables)</t>
  </si>
  <si>
    <t>GRAND TOTAL</t>
  </si>
  <si>
    <t>#  Unlisted Security</t>
  </si>
  <si>
    <t>**Non Traded Security</t>
  </si>
  <si>
    <t>INE031A08764</t>
  </si>
  <si>
    <t>ICRA AAA</t>
  </si>
  <si>
    <t>INE261F08BW6</t>
  </si>
  <si>
    <t>INE134E08KJ6</t>
  </si>
  <si>
    <t>CRISIL AAA</t>
  </si>
  <si>
    <t>INE020B08CH4</t>
  </si>
  <si>
    <t>INE053F07BZ2</t>
  </si>
  <si>
    <t>INE242A08445</t>
  </si>
  <si>
    <t>INE094A08051</t>
  </si>
  <si>
    <t>INE103A08027</t>
  </si>
  <si>
    <t>INE752E07KN9</t>
  </si>
  <si>
    <t>INE020B08831</t>
  </si>
  <si>
    <t>INE261F08AT4</t>
  </si>
  <si>
    <t>INE752E08627</t>
  </si>
  <si>
    <t>INE733E07JD2</t>
  </si>
  <si>
    <t>INE206D08147</t>
  </si>
  <si>
    <t>INE556F08JP6</t>
  </si>
  <si>
    <t>INE514E08CI8</t>
  </si>
  <si>
    <t>INE206D08139</t>
  </si>
  <si>
    <t>INE134E08KG2</t>
  </si>
  <si>
    <t>INE206D08154</t>
  </si>
  <si>
    <t>INE020B08AK2</t>
  </si>
  <si>
    <t>INE733E07KK5</t>
  </si>
  <si>
    <t>INE094A08044</t>
  </si>
  <si>
    <t>INE514E08BY7</t>
  </si>
  <si>
    <t>INE733E07JC4</t>
  </si>
  <si>
    <t>INE514E08CE7</t>
  </si>
  <si>
    <t>INE134E08JO8</t>
  </si>
  <si>
    <t>INE031A08756</t>
  </si>
  <si>
    <t>FITCH AAA</t>
  </si>
  <si>
    <t>INE031A08749</t>
  </si>
  <si>
    <t>INE261F08BQ8</t>
  </si>
  <si>
    <t>INE556F16952</t>
  </si>
  <si>
    <t>INE242A08478</t>
  </si>
  <si>
    <t>INE094A08077</t>
  </si>
  <si>
    <t>INE556F08JU6</t>
  </si>
  <si>
    <t>INE020B08CZ6</t>
  </si>
  <si>
    <t>INE261F08CI3</t>
  </si>
  <si>
    <t>INE134E08KX7</t>
  </si>
  <si>
    <t>INE261F08DI1</t>
  </si>
  <si>
    <t>INE031A08814</t>
  </si>
  <si>
    <t>INE557F08FH9</t>
  </si>
  <si>
    <t>INE514E08FT8</t>
  </si>
  <si>
    <t>INE213A08016</t>
  </si>
  <si>
    <t>INE589A08027</t>
  </si>
  <si>
    <t>INE134E08KH0</t>
  </si>
  <si>
    <t>INE557F08FG1</t>
  </si>
  <si>
    <t>INE556F08JX0</t>
  </si>
  <si>
    <t>INE053F07CB1</t>
  </si>
  <si>
    <t>INE020B08CK8</t>
  </si>
  <si>
    <t>INE020B08CF8</t>
  </si>
  <si>
    <t>INE206D08170</t>
  </si>
  <si>
    <t>INE134E08GV9</t>
  </si>
  <si>
    <t>INE242A08452</t>
  </si>
  <si>
    <t>INE020B08880</t>
  </si>
  <si>
    <t>INE261F08DM3</t>
  </si>
  <si>
    <t>INE261F08BK1</t>
  </si>
  <si>
    <t>INE752E08643</t>
  </si>
  <si>
    <t>INE020B08906</t>
  </si>
  <si>
    <t>INE020B07IZ5</t>
  </si>
  <si>
    <t>INE020B08898</t>
  </si>
  <si>
    <t>INE134E08GU1</t>
  </si>
  <si>
    <t>INE752E07MG9</t>
  </si>
  <si>
    <t>INE020B08DR1</t>
  </si>
  <si>
    <t>INE020B08930</t>
  </si>
  <si>
    <t>INE556F08JV4</t>
  </si>
  <si>
    <t>INE752E08593</t>
  </si>
  <si>
    <t>INE134E08CV8</t>
  </si>
  <si>
    <t>INE514E08CH0</t>
  </si>
  <si>
    <t>INE514E08EK0</t>
  </si>
  <si>
    <t>INE134E08CP0</t>
  </si>
  <si>
    <t>INE752E07LY4</t>
  </si>
  <si>
    <t>INE020B08CM4</t>
  </si>
  <si>
    <t>INE053F09GV6</t>
  </si>
  <si>
    <t>INE733E07HA2</t>
  </si>
  <si>
    <t>INE733E07JO9</t>
  </si>
  <si>
    <t>INE752E07MJ3</t>
  </si>
  <si>
    <t>INE134E08KD9</t>
  </si>
  <si>
    <t>Government Securities</t>
  </si>
  <si>
    <t>IN0020190396</t>
  </si>
  <si>
    <t>SOVEREIGN</t>
  </si>
  <si>
    <t>INE094A08069</t>
  </si>
  <si>
    <t>INE134E08KL2</t>
  </si>
  <si>
    <t>INE020B08CI2</t>
  </si>
  <si>
    <t>INE206D08469</t>
  </si>
  <si>
    <t>INE053F07BY5</t>
  </si>
  <si>
    <t>INE134E08KK4</t>
  </si>
  <si>
    <t>INE906B07HK9</t>
  </si>
  <si>
    <t>INE103A08019</t>
  </si>
  <si>
    <t>INE242A08437</t>
  </si>
  <si>
    <t>INE906B07HH5</t>
  </si>
  <si>
    <t>INE020B08CP7</t>
  </si>
  <si>
    <t>INE103A08035</t>
  </si>
  <si>
    <t>INE752E08635</t>
  </si>
  <si>
    <t>INE906B07HG7</t>
  </si>
  <si>
    <t>INE053F07CA3</t>
  </si>
  <si>
    <t>INE733E07KL3</t>
  </si>
  <si>
    <t>INE053F07BU3</t>
  </si>
  <si>
    <t>INE053F07BX7</t>
  </si>
  <si>
    <t>INE906B07HD4</t>
  </si>
  <si>
    <t>INE020B08CR3</t>
  </si>
  <si>
    <t>INE589A07037</t>
  </si>
  <si>
    <t>INE861G08050</t>
  </si>
  <si>
    <t>CRISIL AAA(CE)</t>
  </si>
  <si>
    <t>INE261F08BX4</t>
  </si>
  <si>
    <t>INE020B08CJ0</t>
  </si>
  <si>
    <t>INE752E08601</t>
  </si>
  <si>
    <t>INE053F07BW9</t>
  </si>
  <si>
    <t>INE020B08BU9</t>
  </si>
  <si>
    <t>INE020B08BQ7</t>
  </si>
  <si>
    <t>INE261F08BZ9</t>
  </si>
  <si>
    <t>INE848E07AS5</t>
  </si>
  <si>
    <t>INE020B08BS3</t>
  </si>
  <si>
    <t>INE206D08436</t>
  </si>
  <si>
    <t>INE134E08KC1</t>
  </si>
  <si>
    <t>INE848E07BC7</t>
  </si>
  <si>
    <t>INE261F08BY2</t>
  </si>
  <si>
    <t>INE134E08KI8</t>
  </si>
  <si>
    <t>INE848E07AX5</t>
  </si>
  <si>
    <t>INE752E07MK1</t>
  </si>
  <si>
    <t>INE206D08394</t>
  </si>
  <si>
    <t>INE752E07LR8</t>
  </si>
  <si>
    <t>INE053F07BR9</t>
  </si>
  <si>
    <t>INE514E08EJ2</t>
  </si>
  <si>
    <t>INE752E08577</t>
  </si>
  <si>
    <t>INE589A07045</t>
  </si>
  <si>
    <t>IN0020190362</t>
  </si>
  <si>
    <t>IN0020150028</t>
  </si>
  <si>
    <t>IN0020160118</t>
  </si>
  <si>
    <t>INE053F07CR7</t>
  </si>
  <si>
    <t>INE020B08DA7</t>
  </si>
  <si>
    <t>INE261F08CJ1</t>
  </si>
  <si>
    <t>INE134E08KY5</t>
  </si>
  <si>
    <t>INE206D08477</t>
  </si>
  <si>
    <t>INE906B07IE0</t>
  </si>
  <si>
    <t>INE213A08024</t>
  </si>
  <si>
    <t>INE733E08155</t>
  </si>
  <si>
    <t>INE094A08093</t>
  </si>
  <si>
    <t>INE861G08076</t>
  </si>
  <si>
    <t>ICRA AAA(CE)</t>
  </si>
  <si>
    <t>INE752E08650</t>
  </si>
  <si>
    <t>INE134E08KZ2</t>
  </si>
  <si>
    <t>INE134E08LC9</t>
  </si>
  <si>
    <t>INE020B08DG4</t>
  </si>
  <si>
    <t>INE020B08CW3</t>
  </si>
  <si>
    <t>INE134E08KV1</t>
  </si>
  <si>
    <t>INE020B08CU7</t>
  </si>
  <si>
    <t>INE752E07NL7</t>
  </si>
  <si>
    <t>INE206D08402</t>
  </si>
  <si>
    <t>INE733E08171</t>
  </si>
  <si>
    <t>8.13% PGCIL NCD 25-04-2030 LIII K**</t>
  </si>
  <si>
    <t>INE752E07NW4</t>
  </si>
  <si>
    <t>INE020B08DE9</t>
  </si>
  <si>
    <t>INE206D08444</t>
  </si>
  <si>
    <t>INE134E08KQ1</t>
  </si>
  <si>
    <t>INE134E07AN1</t>
  </si>
  <si>
    <t>INE752E07MW6</t>
  </si>
  <si>
    <t>IN0020160019</t>
  </si>
  <si>
    <t>INE103A08050</t>
  </si>
  <si>
    <t>INE733E08205</t>
  </si>
  <si>
    <t>INE906B07JA6</t>
  </si>
  <si>
    <t>INE134E08LN6</t>
  </si>
  <si>
    <t>INE020B08DV3</t>
  </si>
  <si>
    <t>INE053F08163</t>
  </si>
  <si>
    <t>INE261F08DL5</t>
  </si>
  <si>
    <t>INE589A08043</t>
  </si>
  <si>
    <t>INE261F08683</t>
  </si>
  <si>
    <t>INE733E08197</t>
  </si>
  <si>
    <t>IN0020210095</t>
  </si>
  <si>
    <t>IN0020210244</t>
  </si>
  <si>
    <t>INE031A08707</t>
  </si>
  <si>
    <t>INE261F08BF1</t>
  </si>
  <si>
    <t>INE733E07KJ7</t>
  </si>
  <si>
    <t>INE514E08EE3</t>
  </si>
  <si>
    <t>INE238A08450</t>
  </si>
  <si>
    <t>INE001A07RT1</t>
  </si>
  <si>
    <t>INE848E08136</t>
  </si>
  <si>
    <t>INE906B07GP0</t>
  </si>
  <si>
    <t>INE206D08386</t>
  </si>
  <si>
    <t>INE861G08043</t>
  </si>
  <si>
    <t>INE206D08253</t>
  </si>
  <si>
    <t>INE053F09GX2</t>
  </si>
  <si>
    <t>INE115A07OB4</t>
  </si>
  <si>
    <t>INE020B08963</t>
  </si>
  <si>
    <t>INE261F08DK7</t>
  </si>
  <si>
    <t>INE848E07AO4</t>
  </si>
  <si>
    <t>INE134E08LD7</t>
  </si>
  <si>
    <t>INE584A08010</t>
  </si>
  <si>
    <t>INE134E08KT5</t>
  </si>
  <si>
    <t>INE752E07MR6</t>
  </si>
  <si>
    <t>IN0020200112</t>
  </si>
  <si>
    <t>State Development Loan</t>
  </si>
  <si>
    <t>IN3720150017</t>
  </si>
  <si>
    <t>IN2220150113</t>
  </si>
  <si>
    <t>IN3120150112</t>
  </si>
  <si>
    <t>IN3120150039</t>
  </si>
  <si>
    <t>IN2120150023</t>
  </si>
  <si>
    <t>IN1020150042</t>
  </si>
  <si>
    <t>IN2220150097</t>
  </si>
  <si>
    <t>IN2020150065</t>
  </si>
  <si>
    <t>IN2220150055</t>
  </si>
  <si>
    <t>IN3120150120</t>
  </si>
  <si>
    <t>Investment in Mutual fund</t>
  </si>
  <si>
    <t>INF754K01KN4</t>
  </si>
  <si>
    <t>INF754K01LD3</t>
  </si>
  <si>
    <t>INF754K01KO2</t>
  </si>
  <si>
    <t>INF754K01LE1</t>
  </si>
  <si>
    <t>INF754K01OB1</t>
  </si>
  <si>
    <t>(a) Listed / Awaiting listing on Stock Exchanges</t>
  </si>
  <si>
    <t>IN0020210152</t>
  </si>
  <si>
    <t>IN0020210202</t>
  </si>
  <si>
    <t>IN2020160155</t>
  </si>
  <si>
    <t>IN1520180309</t>
  </si>
  <si>
    <t>Treasury bills</t>
  </si>
  <si>
    <t>IN002021X595</t>
  </si>
  <si>
    <t>INE242A08502</t>
  </si>
  <si>
    <t>INE053F07983</t>
  </si>
  <si>
    <t>INE752E07OE0</t>
  </si>
  <si>
    <t>INE020B08AH8</t>
  </si>
  <si>
    <t>INE514E08FJ9</t>
  </si>
  <si>
    <t>7.13% NHPC STRPP B NCD 11-02-2027**</t>
  </si>
  <si>
    <t>INE848E07AZ0</t>
  </si>
  <si>
    <t>INE020B08AA3</t>
  </si>
  <si>
    <t>INE134E08IR3</t>
  </si>
  <si>
    <t>INE020B08AC9</t>
  </si>
  <si>
    <t>INE752E07JN1</t>
  </si>
  <si>
    <t>IN3320160309</t>
  </si>
  <si>
    <t>IN1520200347</t>
  </si>
  <si>
    <t>IN1920160109</t>
  </si>
  <si>
    <t>IN1320160170</t>
  </si>
  <si>
    <t>IN1520160194</t>
  </si>
  <si>
    <t>IN2920200036</t>
  </si>
  <si>
    <t>IN3420160175</t>
  </si>
  <si>
    <t>IN3120160194</t>
  </si>
  <si>
    <t>IN2920160412</t>
  </si>
  <si>
    <t>IN3120161309</t>
  </si>
  <si>
    <t>IN3420160167</t>
  </si>
  <si>
    <t>IN1020160439</t>
  </si>
  <si>
    <t>IN1620160268</t>
  </si>
  <si>
    <t>IN1320160162</t>
  </si>
  <si>
    <t>IN2020200290</t>
  </si>
  <si>
    <t>IN1620160292</t>
  </si>
  <si>
    <t>IN1920160117</t>
  </si>
  <si>
    <t>IN3120161317</t>
  </si>
  <si>
    <t>IN1920160125</t>
  </si>
  <si>
    <t>IN3420160142</t>
  </si>
  <si>
    <t>IN1920160091</t>
  </si>
  <si>
    <t>IN2920160222</t>
  </si>
  <si>
    <t>IN3420160183</t>
  </si>
  <si>
    <t>IN1920160083</t>
  </si>
  <si>
    <t>IN1920160075</t>
  </si>
  <si>
    <t>INE020B08DK6</t>
  </si>
  <si>
    <t>INE206D08188</t>
  </si>
  <si>
    <t>INE020B08DF6</t>
  </si>
  <si>
    <t>INE020B08DH2</t>
  </si>
  <si>
    <t>INE103A08043</t>
  </si>
  <si>
    <t>INE848E07AY3</t>
  </si>
  <si>
    <t>INE514E08EU9</t>
  </si>
  <si>
    <t>INE053F09HM3</t>
  </si>
  <si>
    <t>INE514E08FB6</t>
  </si>
  <si>
    <t>INE752E07NK9</t>
  </si>
  <si>
    <t>INE848E07BD5</t>
  </si>
  <si>
    <t>INE848E07AT3</t>
  </si>
  <si>
    <t>INE053F09HN1</t>
  </si>
  <si>
    <t>INE206D08261</t>
  </si>
  <si>
    <t>INE733E07JX0</t>
  </si>
  <si>
    <t>INE589A08035</t>
  </si>
  <si>
    <t>INE848E07377</t>
  </si>
  <si>
    <t>INE848E07468</t>
  </si>
  <si>
    <t>INE752E07JL5</t>
  </si>
  <si>
    <t>INE242A08494</t>
  </si>
  <si>
    <t>IN0020210012</t>
  </si>
  <si>
    <t>IN1520200339</t>
  </si>
  <si>
    <t>IN2920150223</t>
  </si>
  <si>
    <t>IN3120150187</t>
  </si>
  <si>
    <t>IN2120150106</t>
  </si>
  <si>
    <t>IN1020150141</t>
  </si>
  <si>
    <t>IN1920180198</t>
  </si>
  <si>
    <t>IN1320150031</t>
  </si>
  <si>
    <t>IN2920150249</t>
  </si>
  <si>
    <t>IN1920150084</t>
  </si>
  <si>
    <t>IN2120150098</t>
  </si>
  <si>
    <t>IN3420150150</t>
  </si>
  <si>
    <t>IN1320150056</t>
  </si>
  <si>
    <t>IN3420150135</t>
  </si>
  <si>
    <t>IN1020150117</t>
  </si>
  <si>
    <t>IN2120150080</t>
  </si>
  <si>
    <t>IN1520160012</t>
  </si>
  <si>
    <t>IN3420150168</t>
  </si>
  <si>
    <t>IN3320150359</t>
  </si>
  <si>
    <t>IN3320150375</t>
  </si>
  <si>
    <t>IN3320150367</t>
  </si>
  <si>
    <t>IN3120150211</t>
  </si>
  <si>
    <t>IN3420150143</t>
  </si>
  <si>
    <t>IN3320150383</t>
  </si>
  <si>
    <t>IN1020150133</t>
  </si>
  <si>
    <t>IN2220150204</t>
  </si>
  <si>
    <t>IN3120150195</t>
  </si>
  <si>
    <t>IN2220150170</t>
  </si>
  <si>
    <t>IN1920150092</t>
  </si>
  <si>
    <t>IN2920150264</t>
  </si>
  <si>
    <t>IN3420150127</t>
  </si>
  <si>
    <t>IN1320150049</t>
  </si>
  <si>
    <t>IN3120150203</t>
  </si>
  <si>
    <t>IN2920150231</t>
  </si>
  <si>
    <t>IN2920200028</t>
  </si>
  <si>
    <t>IN2220150196</t>
  </si>
  <si>
    <t>IN2220150188</t>
  </si>
  <si>
    <t>IN3120150179</t>
  </si>
  <si>
    <t>IN2220150162</t>
  </si>
  <si>
    <t>IN1920150076</t>
  </si>
  <si>
    <t>IN1520150120</t>
  </si>
  <si>
    <t>IN1020150125</t>
  </si>
  <si>
    <t>IN2920150363</t>
  </si>
  <si>
    <t>IN1020150158</t>
  </si>
  <si>
    <t>IN1520160020</t>
  </si>
  <si>
    <t>IN3120160020</t>
  </si>
  <si>
    <t>IN1020200078</t>
  </si>
  <si>
    <t>(a)Listed / Awaiting listing on Stock Exchanges</t>
  </si>
  <si>
    <t>Adani Ports &amp; Special Economic Zone Ltd.</t>
  </si>
  <si>
    <t>INE742F01042</t>
  </si>
  <si>
    <t>Reliance Industries Ltd.</t>
  </si>
  <si>
    <t>INE002A01018</t>
  </si>
  <si>
    <t>Petroleum Products</t>
  </si>
  <si>
    <t>Bharti Airtel Ltd.</t>
  </si>
  <si>
    <t>INE397D01024</t>
  </si>
  <si>
    <t>Telecom - Services</t>
  </si>
  <si>
    <t>Vedanta Ltd.</t>
  </si>
  <si>
    <t>INE205A01025</t>
  </si>
  <si>
    <t>Adani Enterprises Ltd.</t>
  </si>
  <si>
    <t>INE423A01024</t>
  </si>
  <si>
    <t>Housing Development Finance Corporation Ltd.</t>
  </si>
  <si>
    <t>INE001A01036</t>
  </si>
  <si>
    <t>Finance</t>
  </si>
  <si>
    <t>Zee Entertainment Enterprises Ltd.</t>
  </si>
  <si>
    <t>INE256A01028</t>
  </si>
  <si>
    <t>Entertainment</t>
  </si>
  <si>
    <t>Steel Authority of India Ltd.</t>
  </si>
  <si>
    <t>INE114A01011</t>
  </si>
  <si>
    <t>Ferrous Metals</t>
  </si>
  <si>
    <t>Tata Power Company Ltd.</t>
  </si>
  <si>
    <t>INE245A01021</t>
  </si>
  <si>
    <t>Power</t>
  </si>
  <si>
    <t>National Aluminium Company Ltd.</t>
  </si>
  <si>
    <t>INE139A01034</t>
  </si>
  <si>
    <t>Non - Ferrous Metals</t>
  </si>
  <si>
    <t>Kotak Mahindra Bank Ltd.</t>
  </si>
  <si>
    <t>INE237A01028</t>
  </si>
  <si>
    <t>Banks</t>
  </si>
  <si>
    <t>PVR Ltd.</t>
  </si>
  <si>
    <t>INE191H01014</t>
  </si>
  <si>
    <t>IndusInd Bank Ltd.</t>
  </si>
  <si>
    <t>INE095A01012</t>
  </si>
  <si>
    <t>Tata Steel Ltd.</t>
  </si>
  <si>
    <t>INE081A01012</t>
  </si>
  <si>
    <t>Infosys Ltd.</t>
  </si>
  <si>
    <t>INE009A01021</t>
  </si>
  <si>
    <t>Bandhan Bank Ltd.</t>
  </si>
  <si>
    <t>INE545U01014</t>
  </si>
  <si>
    <t>MindTree Ltd.</t>
  </si>
  <si>
    <t>INE018I01017</t>
  </si>
  <si>
    <t>Grasim Industries Ltd.</t>
  </si>
  <si>
    <t>INE047A01021</t>
  </si>
  <si>
    <t>Cement &amp; Cement Products</t>
  </si>
  <si>
    <t>Axis Bank Ltd.</t>
  </si>
  <si>
    <t>INE238A01034</t>
  </si>
  <si>
    <t>Hindustan Unilever Ltd.</t>
  </si>
  <si>
    <t>INE030A01027</t>
  </si>
  <si>
    <t>HDFC Life Insurance Company Ltd.</t>
  </si>
  <si>
    <t>INE795G01014</t>
  </si>
  <si>
    <t>Insurance</t>
  </si>
  <si>
    <t>Coforge Ltd.</t>
  </si>
  <si>
    <t>INE591G01017</t>
  </si>
  <si>
    <t>Bajaj Finance Ltd.</t>
  </si>
  <si>
    <t>INE296A01024</t>
  </si>
  <si>
    <t>Larsen &amp; Toubro Ltd.</t>
  </si>
  <si>
    <t>INE018A01030</t>
  </si>
  <si>
    <t>Construction</t>
  </si>
  <si>
    <t>IDFC Ltd.</t>
  </si>
  <si>
    <t>INE043D01016</t>
  </si>
  <si>
    <t>Piramal Enterprises Ltd.</t>
  </si>
  <si>
    <t>INE140A01024</t>
  </si>
  <si>
    <t>Hindustan Aeronautics Ltd.</t>
  </si>
  <si>
    <t>INE066F01012</t>
  </si>
  <si>
    <t>Aerospace &amp; Defense</t>
  </si>
  <si>
    <t>Motherson Sumi Systems Ltd.</t>
  </si>
  <si>
    <t>INE775A01035</t>
  </si>
  <si>
    <t>ITC Ltd.</t>
  </si>
  <si>
    <t>INE154A01025</t>
  </si>
  <si>
    <t>Punjab National Bank</t>
  </si>
  <si>
    <t>INE160A01022</t>
  </si>
  <si>
    <t>Hindalco Industries Ltd.</t>
  </si>
  <si>
    <t>INE038A01020</t>
  </si>
  <si>
    <t>HCL Technologies Ltd.</t>
  </si>
  <si>
    <t>INE860A01027</t>
  </si>
  <si>
    <t>Multi Commodity Exchange Of India Ltd.</t>
  </si>
  <si>
    <t>INE745G01035</t>
  </si>
  <si>
    <t>Capital Markets</t>
  </si>
  <si>
    <t>Sun TV Network Ltd.</t>
  </si>
  <si>
    <t>INE424H01027</t>
  </si>
  <si>
    <t>RBL Bank Ltd.</t>
  </si>
  <si>
    <t>INE976G01028</t>
  </si>
  <si>
    <t>Power Finance Corporation Ltd.</t>
  </si>
  <si>
    <t>INE134E01011</t>
  </si>
  <si>
    <t>Tata Communications Ltd.</t>
  </si>
  <si>
    <t>INE151A01013</t>
  </si>
  <si>
    <t>Vodafone Idea Ltd.</t>
  </si>
  <si>
    <t>INE669E01016</t>
  </si>
  <si>
    <t>Godrej Properties Ltd.</t>
  </si>
  <si>
    <t>INE484J01027</t>
  </si>
  <si>
    <t>SRF Ltd.</t>
  </si>
  <si>
    <t>INE647A01010</t>
  </si>
  <si>
    <t>P I INDUSTRIES LIMITED</t>
  </si>
  <si>
    <t>INE603J01030</t>
  </si>
  <si>
    <t>LIC Housing Finance Ltd.</t>
  </si>
  <si>
    <t>INE115A01026</t>
  </si>
  <si>
    <t>Indian Energy Exchange Ltd.</t>
  </si>
  <si>
    <t>INE022Q01020</t>
  </si>
  <si>
    <t>United Spirits Ltd.</t>
  </si>
  <si>
    <t>INE854D01024</t>
  </si>
  <si>
    <t>State Bank of India</t>
  </si>
  <si>
    <t>INE062A01020</t>
  </si>
  <si>
    <t>DLF Ltd.</t>
  </si>
  <si>
    <t>INE271C01023</t>
  </si>
  <si>
    <t>Bharat Electronics Ltd.</t>
  </si>
  <si>
    <t>INE263A01024</t>
  </si>
  <si>
    <t>NMDC Ltd.</t>
  </si>
  <si>
    <t>INE584A01023</t>
  </si>
  <si>
    <t>Ambuja Cements Ltd.</t>
  </si>
  <si>
    <t>INE079A01024</t>
  </si>
  <si>
    <t>ICICI Prudential Life Insurance Co Ltd.</t>
  </si>
  <si>
    <t>INE726G01019</t>
  </si>
  <si>
    <t>HDFC Bank Ltd.</t>
  </si>
  <si>
    <t>INE040A01034</t>
  </si>
  <si>
    <t>Muthoot Finance Ltd.</t>
  </si>
  <si>
    <t>INE414G01012</t>
  </si>
  <si>
    <t>Cipla Ltd.</t>
  </si>
  <si>
    <t>INE059A01026</t>
  </si>
  <si>
    <t>Pharmaceuticals &amp; Biotechnology</t>
  </si>
  <si>
    <t>Bharat Forge Ltd.</t>
  </si>
  <si>
    <t>INE465A01025</t>
  </si>
  <si>
    <t>Industrial Products</t>
  </si>
  <si>
    <t>Balrampur Chini Mills Ltd.</t>
  </si>
  <si>
    <t>INE119A01028</t>
  </si>
  <si>
    <t>SBI Life Insurance Company Ltd.</t>
  </si>
  <si>
    <t>INE123W01016</t>
  </si>
  <si>
    <t>Nestle India Ltd.</t>
  </si>
  <si>
    <t>INE239A01016</t>
  </si>
  <si>
    <t>Godrej Consumer Products Ltd.</t>
  </si>
  <si>
    <t>INE102D01028</t>
  </si>
  <si>
    <t>Deepak Nitrite Ltd.</t>
  </si>
  <si>
    <t>INE288B01029</t>
  </si>
  <si>
    <t>Exide Industries Ltd.</t>
  </si>
  <si>
    <t>INE302A01020</t>
  </si>
  <si>
    <t>Metropolis Healthcare Ltd.</t>
  </si>
  <si>
    <t>INE112L01020</t>
  </si>
  <si>
    <t>Healthcare Services</t>
  </si>
  <si>
    <t>Lupin Ltd.</t>
  </si>
  <si>
    <t>INE326A01037</t>
  </si>
  <si>
    <t>Jindal Steel &amp; Power Ltd.</t>
  </si>
  <si>
    <t>INE749A01030</t>
  </si>
  <si>
    <t>Firstsource Solutions Ltd.</t>
  </si>
  <si>
    <t>INE684F01012</t>
  </si>
  <si>
    <t>InterGlobe Aviation Ltd.</t>
  </si>
  <si>
    <t>INE646L01027</t>
  </si>
  <si>
    <t>Maruti Suzuki India Ltd.</t>
  </si>
  <si>
    <t>INE585B01010</t>
  </si>
  <si>
    <t>Tata Consultancy Services Ltd.</t>
  </si>
  <si>
    <t>INE467B01029</t>
  </si>
  <si>
    <t>UPL Ltd.</t>
  </si>
  <si>
    <t>INE628A01036</t>
  </si>
  <si>
    <t>Biocon Ltd.</t>
  </si>
  <si>
    <t>INE376G01013</t>
  </si>
  <si>
    <t>Hero MotoCorp Ltd.</t>
  </si>
  <si>
    <t>INE158A01026</t>
  </si>
  <si>
    <t>Manappuram Finance Ltd.</t>
  </si>
  <si>
    <t>INE522D01027</t>
  </si>
  <si>
    <t>Mahindra &amp; Mahindra Financial Services Ltd</t>
  </si>
  <si>
    <t>INE774D01024</t>
  </si>
  <si>
    <t>Apollo Hospitals Enterprise Ltd.</t>
  </si>
  <si>
    <t>INE437A01024</t>
  </si>
  <si>
    <t>The Ramco Cements Ltd.</t>
  </si>
  <si>
    <t>INE331A01037</t>
  </si>
  <si>
    <t>Shree Cement Ltd.</t>
  </si>
  <si>
    <t>INE070A01015</t>
  </si>
  <si>
    <t>Indus Towers Ltd.</t>
  </si>
  <si>
    <t>INE121J01017</t>
  </si>
  <si>
    <t>Zydus Lifesciences Ltd.</t>
  </si>
  <si>
    <t>INE010B01027</t>
  </si>
  <si>
    <t>Delta Corp Ltd.</t>
  </si>
  <si>
    <t>INE124G01033</t>
  </si>
  <si>
    <t>Leisure Services</t>
  </si>
  <si>
    <t>Apollo Tyres Ltd.</t>
  </si>
  <si>
    <t>INE438A01022</t>
  </si>
  <si>
    <t>Canara Bank</t>
  </si>
  <si>
    <t>INE476A01014</t>
  </si>
  <si>
    <t>Havells India Ltd.</t>
  </si>
  <si>
    <t>INE176B01034</t>
  </si>
  <si>
    <t>Consumer Durables</t>
  </si>
  <si>
    <t>Jubilant Foodworks Ltd.</t>
  </si>
  <si>
    <t>INE797F01012</t>
  </si>
  <si>
    <t>IDFC First Bank Ltd.</t>
  </si>
  <si>
    <t>INE092T01019</t>
  </si>
  <si>
    <t>Laurus Labs Ltd.</t>
  </si>
  <si>
    <t>INE947Q01028</t>
  </si>
  <si>
    <t>ICICI Bank Ltd.</t>
  </si>
  <si>
    <t>INE090A01021</t>
  </si>
  <si>
    <t>Mahanagar Gas Ltd.</t>
  </si>
  <si>
    <t>INE002S01010</t>
  </si>
  <si>
    <t>Gas</t>
  </si>
  <si>
    <t>Bharat Petroleum Corporation Ltd.</t>
  </si>
  <si>
    <t>INE029A01011</t>
  </si>
  <si>
    <t>NTPC Ltd.</t>
  </si>
  <si>
    <t>INE733E01010</t>
  </si>
  <si>
    <t>Mphasis Ltd.</t>
  </si>
  <si>
    <t>INE356A01018</t>
  </si>
  <si>
    <t>Container Corporation Of India Ltd.</t>
  </si>
  <si>
    <t>INE111A01025</t>
  </si>
  <si>
    <t>Bank of Baroda</t>
  </si>
  <si>
    <t>INE028A01039</t>
  </si>
  <si>
    <t>Oracle Financial Services Software Ltd.</t>
  </si>
  <si>
    <t>INE881D01027</t>
  </si>
  <si>
    <t>The Indian Hotels Company Ltd.</t>
  </si>
  <si>
    <t>INE053A01029</t>
  </si>
  <si>
    <t>Indiabulls Housing Finance Ltd.</t>
  </si>
  <si>
    <t>INE148I01020</t>
  </si>
  <si>
    <t>Can Fin Homes Ltd.</t>
  </si>
  <si>
    <t>INE477A01020</t>
  </si>
  <si>
    <t>Amara Raja Batteries Ltd.</t>
  </si>
  <si>
    <t>INE885A01032</t>
  </si>
  <si>
    <t>Granules India Ltd.</t>
  </si>
  <si>
    <t>INE101D01020</t>
  </si>
  <si>
    <t>Bharat Heavy Electricals Ltd.</t>
  </si>
  <si>
    <t>INE257A01026</t>
  </si>
  <si>
    <t>Whirlpool of India Ltd.</t>
  </si>
  <si>
    <t>INE716A01013</t>
  </si>
  <si>
    <t>Tech Mahindra Ltd.</t>
  </si>
  <si>
    <t>INE669C01036</t>
  </si>
  <si>
    <t>Shriram Transport Finance Company Ltd.</t>
  </si>
  <si>
    <t>INE721A01013</t>
  </si>
  <si>
    <t>Ultratech Cement Ltd.</t>
  </si>
  <si>
    <t>INE481G01011</t>
  </si>
  <si>
    <t>Bata India Ltd.</t>
  </si>
  <si>
    <t>INE176A01028</t>
  </si>
  <si>
    <t>Balkrishna Industries Ltd.</t>
  </si>
  <si>
    <t>INE787D01026</t>
  </si>
  <si>
    <t>Larsen &amp; Toubro Infotech Ltd.</t>
  </si>
  <si>
    <t>INE214T01019</t>
  </si>
  <si>
    <t>United Breweries Ltd.</t>
  </si>
  <si>
    <t>INE686F01025</t>
  </si>
  <si>
    <t>REC Ltd.</t>
  </si>
  <si>
    <t>INE020B01018</t>
  </si>
  <si>
    <t>Cholamandalam Investment &amp; Finance Company Ltd.</t>
  </si>
  <si>
    <t>INE121A01024</t>
  </si>
  <si>
    <t>GMR Infrastructure Ltd.</t>
  </si>
  <si>
    <t>INE776C01039</t>
  </si>
  <si>
    <t>Eicher Motors Ltd.</t>
  </si>
  <si>
    <t>INE066A01021</t>
  </si>
  <si>
    <t>Trent Ltd.</t>
  </si>
  <si>
    <t>INE849A01020</t>
  </si>
  <si>
    <t>Retailing</t>
  </si>
  <si>
    <t>Aditya Birla Capital Ltd.</t>
  </si>
  <si>
    <t>INE674K01013</t>
  </si>
  <si>
    <t>The Federal Bank Ltd.</t>
  </si>
  <si>
    <t>INE171A01029</t>
  </si>
  <si>
    <t>Tata Chemicals Ltd.</t>
  </si>
  <si>
    <t>INE092A01019</t>
  </si>
  <si>
    <t>SBI Cards &amp; Payment Services Ltd.</t>
  </si>
  <si>
    <t>INE018E01016</t>
  </si>
  <si>
    <t>Hindustan Petroleum Corporation Ltd.</t>
  </si>
  <si>
    <t>INE094A01015</t>
  </si>
  <si>
    <t>Astral Ltd.</t>
  </si>
  <si>
    <t>INE006I01046</t>
  </si>
  <si>
    <t>Dr. Reddy's Laboratories Ltd.</t>
  </si>
  <si>
    <t>INE089A01023</t>
  </si>
  <si>
    <t>ACC Ltd.</t>
  </si>
  <si>
    <t>INE012A01025</t>
  </si>
  <si>
    <t>TVS Motor Company Ltd.</t>
  </si>
  <si>
    <t>INE494B01023</t>
  </si>
  <si>
    <t>Ashok Leyland Ltd.</t>
  </si>
  <si>
    <t>INE208A01029</t>
  </si>
  <si>
    <t>The India Cements Ltd.</t>
  </si>
  <si>
    <t>INE383A01012</t>
  </si>
  <si>
    <t>Dalmia Bharat Ltd.</t>
  </si>
  <si>
    <t>INE00R701025</t>
  </si>
  <si>
    <t>Tata Motors Ltd.</t>
  </si>
  <si>
    <t>INE155A01022</t>
  </si>
  <si>
    <t>Alembic Pharmaceuticals Ltd.</t>
  </si>
  <si>
    <t>INE901L01018</t>
  </si>
  <si>
    <t>Strides Pharma Science Ltd.</t>
  </si>
  <si>
    <t>INE939A01011</t>
  </si>
  <si>
    <t>Power Grid Corporation of India Ltd.</t>
  </si>
  <si>
    <t>INE752E01010</t>
  </si>
  <si>
    <t>AU Small Finance Bank Ltd.</t>
  </si>
  <si>
    <t>INE949L01017</t>
  </si>
  <si>
    <t>Aurobindo Pharma Ltd.</t>
  </si>
  <si>
    <t>INE406A01037</t>
  </si>
  <si>
    <t>IPCA Laboratories Ltd.</t>
  </si>
  <si>
    <t>INE571A01038</t>
  </si>
  <si>
    <t>Titan Company Ltd.</t>
  </si>
  <si>
    <t>INE280A01028</t>
  </si>
  <si>
    <t>Chambal Fertilizers &amp; Chemicals Ltd.</t>
  </si>
  <si>
    <t>INE085A01013</t>
  </si>
  <si>
    <t>Oberoi Realty Ltd.</t>
  </si>
  <si>
    <t>INE093I01010</t>
  </si>
  <si>
    <t>Intellect Design Arena Ltd.</t>
  </si>
  <si>
    <t>INE306R01017</t>
  </si>
  <si>
    <t>Sun Pharmaceutical Industries Ltd.</t>
  </si>
  <si>
    <t>INE044A01036</t>
  </si>
  <si>
    <t>Oil &amp; Natural Gas Corporation Ltd.</t>
  </si>
  <si>
    <t>INE213A01029</t>
  </si>
  <si>
    <t>Oil</t>
  </si>
  <si>
    <t>Tata Consumer Products Ltd.</t>
  </si>
  <si>
    <t>INE192A01025</t>
  </si>
  <si>
    <t>Info Edge (India) Ltd.</t>
  </si>
  <si>
    <t>INE663F01024</t>
  </si>
  <si>
    <t>Petronet LNG Ltd.</t>
  </si>
  <si>
    <t>INE347G01014</t>
  </si>
  <si>
    <t>Bajaj Finserv Ltd.</t>
  </si>
  <si>
    <t>INE918I01018</t>
  </si>
  <si>
    <t>Persistent Systems Ltd.</t>
  </si>
  <si>
    <t>INE262H01013</t>
  </si>
  <si>
    <t>Rain Industries Ltd.</t>
  </si>
  <si>
    <t>INE855B01025</t>
  </si>
  <si>
    <t>Mahindra &amp; Mahindra Ltd.</t>
  </si>
  <si>
    <t>INE101A01026</t>
  </si>
  <si>
    <t>Hindustan Copper Ltd.</t>
  </si>
  <si>
    <t>INE531E01026</t>
  </si>
  <si>
    <t>Crompton Greaves Cons Electrical Ltd.</t>
  </si>
  <si>
    <t>INE299U01018</t>
  </si>
  <si>
    <t>JSW Steel Ltd.</t>
  </si>
  <si>
    <t>INE019A01038</t>
  </si>
  <si>
    <t>Coromandel International Ltd.</t>
  </si>
  <si>
    <t>INE169A01031</t>
  </si>
  <si>
    <t>Indian Oil Corporation Ltd.</t>
  </si>
  <si>
    <t>INE242A01010</t>
  </si>
  <si>
    <t>ICICI Lombard General Insurance Co. Ltd.</t>
  </si>
  <si>
    <t>INE765G01017</t>
  </si>
  <si>
    <t>JK Cement Ltd.</t>
  </si>
  <si>
    <t>INE823G01014</t>
  </si>
  <si>
    <t>Nippon Life India Asset Management Ltd.</t>
  </si>
  <si>
    <t>INE298J01013</t>
  </si>
  <si>
    <t>Siemens Ltd.</t>
  </si>
  <si>
    <t>INE003A01024</t>
  </si>
  <si>
    <t>Aarti Industries Ltd.</t>
  </si>
  <si>
    <t>INE769A01020</t>
  </si>
  <si>
    <t>Pfizer Ltd.</t>
  </si>
  <si>
    <t>INE182A01018</t>
  </si>
  <si>
    <t>Page Industries Ltd.</t>
  </si>
  <si>
    <t>INE761H01022</t>
  </si>
  <si>
    <t>Indraprastha Gas Ltd.</t>
  </si>
  <si>
    <t>INE203G01027</t>
  </si>
  <si>
    <t>ABB India Ltd.</t>
  </si>
  <si>
    <t>INE117A01022</t>
  </si>
  <si>
    <t>City Union Bank Ltd.</t>
  </si>
  <si>
    <t>INE491A01021</t>
  </si>
  <si>
    <t>Syngene International Ltd.</t>
  </si>
  <si>
    <t>INE398R01022</t>
  </si>
  <si>
    <t>Torrent Power Ltd.</t>
  </si>
  <si>
    <t>INE813H01021</t>
  </si>
  <si>
    <t>Divi's Laboratories Ltd.</t>
  </si>
  <si>
    <t>INE361B01024</t>
  </si>
  <si>
    <t>National Buildings Construction Corporation Ltd.</t>
  </si>
  <si>
    <t>INE095N01031</t>
  </si>
  <si>
    <t>Max Financial Services Ltd.</t>
  </si>
  <si>
    <t>INE180A01020</t>
  </si>
  <si>
    <t>Gujarat Gas Ltd.</t>
  </si>
  <si>
    <t>INE844O01030</t>
  </si>
  <si>
    <t>Coal India Ltd.</t>
  </si>
  <si>
    <t>INE522F01014</t>
  </si>
  <si>
    <t>Gujarat State Petronet Ltd.</t>
  </si>
  <si>
    <t>INE246F01010</t>
  </si>
  <si>
    <t>Bosch Ltd.</t>
  </si>
  <si>
    <t>INE323A01026</t>
  </si>
  <si>
    <t>Marico Ltd.</t>
  </si>
  <si>
    <t>INE196A01026</t>
  </si>
  <si>
    <t>Abbott India Ltd.</t>
  </si>
  <si>
    <t>INE358A01014</t>
  </si>
  <si>
    <t>Dabur India Ltd.</t>
  </si>
  <si>
    <t>INE016A01026</t>
  </si>
  <si>
    <t>Glenmark Pharmaceuticals Ltd.</t>
  </si>
  <si>
    <t>INE935A01035</t>
  </si>
  <si>
    <t>Torrent Pharmaceuticals Ltd.</t>
  </si>
  <si>
    <t>INE685A01028</t>
  </si>
  <si>
    <t>Navin Fluorine International Ltd.</t>
  </si>
  <si>
    <t>INE048G01026</t>
  </si>
  <si>
    <t>Asian Paints Ltd.</t>
  </si>
  <si>
    <t>INE021A01026</t>
  </si>
  <si>
    <t>Birlasoft Ltd.</t>
  </si>
  <si>
    <t>INE836A01035</t>
  </si>
  <si>
    <t>Polycab India Ltd.</t>
  </si>
  <si>
    <t>INE455K01017</t>
  </si>
  <si>
    <t>Pidilite Industries Ltd.</t>
  </si>
  <si>
    <t>INE318A01026</t>
  </si>
  <si>
    <t>L&amp;T Technology Services Ltd.</t>
  </si>
  <si>
    <t>INE010V01017</t>
  </si>
  <si>
    <t>Berger Paints (I) Ltd.</t>
  </si>
  <si>
    <t>INE463A01038</t>
  </si>
  <si>
    <t>(b) Unlisted</t>
  </si>
  <si>
    <t>Derivatives</t>
  </si>
  <si>
    <t>(a) Index/Stock Future</t>
  </si>
  <si>
    <t>Berger Paints (I) Ltd.28/04/2022</t>
  </si>
  <si>
    <t>L&amp;T Technology Services Ltd.28/04/2022</t>
  </si>
  <si>
    <t>Pidilite Industries Ltd.28/04/2022</t>
  </si>
  <si>
    <t>Polycab India Ltd.28/04/2022</t>
  </si>
  <si>
    <t>Birlasoft Ltd.28/04/2022</t>
  </si>
  <si>
    <t>Asian Paints Ltd.28/04/2022</t>
  </si>
  <si>
    <t>Navin Fluorine International Ltd.28/04/2022</t>
  </si>
  <si>
    <t>Torrent Pharmaceuticals Ltd.28/04/2022</t>
  </si>
  <si>
    <t>Glenmark Pharmaceuticals Ltd.28/04/2022</t>
  </si>
  <si>
    <t>Dabur India Ltd.28/04/2022</t>
  </si>
  <si>
    <t>Abbott India Ltd.28/04/2022</t>
  </si>
  <si>
    <t>Marico Ltd.28/04/2022</t>
  </si>
  <si>
    <t>Bosch Ltd.28/04/2022</t>
  </si>
  <si>
    <t>Gujarat State Petronet Ltd.28/04/2022</t>
  </si>
  <si>
    <t>Gujarat Gas Ltd.28/04/2022</t>
  </si>
  <si>
    <t>Coal India Ltd.28/04/2022</t>
  </si>
  <si>
    <t>Max Financial Services Ltd.28/04/2022</t>
  </si>
  <si>
    <t>National Buildings Construction Corporation Ltd.28/04/2022</t>
  </si>
  <si>
    <t>Divi's Laboratories Ltd.28/04/2022</t>
  </si>
  <si>
    <t>Torrent Power Ltd.28/04/2022</t>
  </si>
  <si>
    <t>Syngene International Ltd.28/04/2022</t>
  </si>
  <si>
    <t>City Union Bank Ltd.28/04/2022</t>
  </si>
  <si>
    <t>ABB India Ltd.28/04/2022</t>
  </si>
  <si>
    <t>Indraprastha Gas Ltd.28/04/2022</t>
  </si>
  <si>
    <t>Page Industries Ltd.28/04/2022</t>
  </si>
  <si>
    <t>Pfizer Ltd.28/04/2022</t>
  </si>
  <si>
    <t>Aarti Industries Ltd.28/04/2022</t>
  </si>
  <si>
    <t>Siemens Ltd.28/04/2022</t>
  </si>
  <si>
    <t>Nippon Life India Asset Management Ltd.28/04/2022</t>
  </si>
  <si>
    <t>JK Cement Ltd.28/04/2022</t>
  </si>
  <si>
    <t>ICICI Lombard General Insurance Co. Ltd.28/04/2022</t>
  </si>
  <si>
    <t>Indian Oil Corporation Ltd.28/04/2022</t>
  </si>
  <si>
    <t>Coromandel International Ltd.28/04/2022</t>
  </si>
  <si>
    <t>Crompton Greaves Cons Electrical Ltd.28/04/2022</t>
  </si>
  <si>
    <t>JSW Steel Ltd.28/04/2022</t>
  </si>
  <si>
    <t>Hindustan Copper Ltd.28/04/2022</t>
  </si>
  <si>
    <t>Mahindra &amp; Mahindra Ltd.28/04/2022</t>
  </si>
  <si>
    <t>Rain Industries Ltd.28/04/2022</t>
  </si>
  <si>
    <t>Persistent Systems Ltd.28/04/2022</t>
  </si>
  <si>
    <t>Bajaj Finserv Ltd.28/04/2022</t>
  </si>
  <si>
    <t>Petronet LNG Ltd.28/04/2022</t>
  </si>
  <si>
    <t>Info Edge (India) Ltd.28/04/2022</t>
  </si>
  <si>
    <t>Tata Consumer Products Ltd.28/04/2022</t>
  </si>
  <si>
    <t>Oil &amp; Natural Gas Corporation Ltd.28/04/2022</t>
  </si>
  <si>
    <t>Sun Pharmaceutical Industries Ltd.28/04/2022</t>
  </si>
  <si>
    <t>Intellect Design Arena Ltd.28/04/2022</t>
  </si>
  <si>
    <t>Oberoi Realty Ltd.28/04/2022</t>
  </si>
  <si>
    <t>Chambal Fertilizers &amp; Chemicals Ltd.28/04/2022</t>
  </si>
  <si>
    <t>Titan Company Ltd.28/04/2022</t>
  </si>
  <si>
    <t>IPCA Laboratories Ltd.28/04/2022</t>
  </si>
  <si>
    <t>Aurobindo Pharma Ltd.28/04/2022</t>
  </si>
  <si>
    <t>AU Small Finance Bank Ltd.28/04/2022</t>
  </si>
  <si>
    <t>Power Grid Corporation of India Ltd.28/04/2022</t>
  </si>
  <si>
    <t>Strides Pharma Science Ltd.28/04/2022</t>
  </si>
  <si>
    <t>Alembic Pharmaceuticals Ltd.28/04/2022</t>
  </si>
  <si>
    <t>Tata Motors Ltd.28/04/2022</t>
  </si>
  <si>
    <t>Dalmia Bharat Ltd.28/04/2022</t>
  </si>
  <si>
    <t>The India Cements Ltd.28/04/2022</t>
  </si>
  <si>
    <t>Ashok Leyland Ltd.28/04/2022</t>
  </si>
  <si>
    <t>ACC Ltd.28/04/2022</t>
  </si>
  <si>
    <t>TVS Motor Company Ltd.28/04/2022</t>
  </si>
  <si>
    <t>Dr. Reddy's Laboratories Ltd.28/04/2022</t>
  </si>
  <si>
    <t>Astral Ltd.28/04/2022</t>
  </si>
  <si>
    <t>Hindustan Petroleum Corporation Ltd.28/04/2022</t>
  </si>
  <si>
    <t>SBI Cards &amp; Payment Services Ltd.28/04/2022</t>
  </si>
  <si>
    <t>Tata Chemicals Ltd.28/04/2022</t>
  </si>
  <si>
    <t>The Federal Bank Ltd.28/04/2022</t>
  </si>
  <si>
    <t>Aditya Birla Capital Ltd.28/04/2022</t>
  </si>
  <si>
    <t>Trent Ltd.28/04/2022</t>
  </si>
  <si>
    <t>Eicher Motors Ltd.28/04/2022</t>
  </si>
  <si>
    <t>GMR Infrastructure Ltd.28/04/2022</t>
  </si>
  <si>
    <t>Cholamandalam Investment &amp; Finance Company Ltd.28/04/2022</t>
  </si>
  <si>
    <t>REC Ltd.28/04/2022</t>
  </si>
  <si>
    <t>United Breweries Ltd.28/04/2022</t>
  </si>
  <si>
    <t>Larsen &amp; Toubro Infotech Ltd.28/04/2022</t>
  </si>
  <si>
    <t>HCL Technologies Ltd.26/05/2022</t>
  </si>
  <si>
    <t>Balkrishna Industries Ltd.28/04/2022</t>
  </si>
  <si>
    <t>Bata India Ltd.28/04/2022</t>
  </si>
  <si>
    <t>Ultratech Cement Ltd.28/04/2022</t>
  </si>
  <si>
    <t>Shriram Transport Finance Company Ltd.28/04/2022</t>
  </si>
  <si>
    <t>Tech Mahindra Ltd.28/04/2022</t>
  </si>
  <si>
    <t>Whirlpool of India Ltd.28/04/2022</t>
  </si>
  <si>
    <t>Granules India Ltd.28/04/2022</t>
  </si>
  <si>
    <t>Bharat Heavy Electricals Ltd.28/04/2022</t>
  </si>
  <si>
    <t>Can Fin Homes Ltd.28/04/2022</t>
  </si>
  <si>
    <t>Amara Raja Batteries Ltd.28/04/2022</t>
  </si>
  <si>
    <t>Indiabulls Housing Finance Ltd.28/04/2022</t>
  </si>
  <si>
    <t>The Indian Hotels Company Ltd.28/04/2022</t>
  </si>
  <si>
    <t>Oracle Financial Services Software Ltd.28/04/2022</t>
  </si>
  <si>
    <t>Bank of Baroda28/04/2022</t>
  </si>
  <si>
    <t>Container Corporation Of India Ltd.28/04/2022</t>
  </si>
  <si>
    <t>Mphasis Ltd.28/04/2022</t>
  </si>
  <si>
    <t>NTPC Ltd.28/04/2022</t>
  </si>
  <si>
    <t>Bharat Petroleum Corporation Ltd.28/04/2022</t>
  </si>
  <si>
    <t>Mahanagar Gas Ltd.28/04/2022</t>
  </si>
  <si>
    <t>ICICI Bank Ltd.28/04/2022</t>
  </si>
  <si>
    <t>Laurus Labs Ltd.28/04/2022</t>
  </si>
  <si>
    <t>IDFC First Bank Ltd.28/04/2022</t>
  </si>
  <si>
    <t>Jubilant Foodworks Ltd.28/04/2022</t>
  </si>
  <si>
    <t>Havells India Ltd.28/04/2022</t>
  </si>
  <si>
    <t>Apollo Tyres Ltd.28/04/2022</t>
  </si>
  <si>
    <t>Canara Bank28/04/2022</t>
  </si>
  <si>
    <t>Delta Corp Ltd.28/04/2022</t>
  </si>
  <si>
    <t>Zydus Lifesciences Ltd.28/04/2022</t>
  </si>
  <si>
    <t>Indus Towers Ltd.28/04/2022</t>
  </si>
  <si>
    <t>Shree Cement Ltd.28/04/2022</t>
  </si>
  <si>
    <t>The Ramco Cements Ltd.28/04/2022</t>
  </si>
  <si>
    <t>Apollo Hospitals Enterprise Ltd.28/04/2022</t>
  </si>
  <si>
    <t>Manappuram Finance Ltd.28/04/2022</t>
  </si>
  <si>
    <t>Mahindra &amp; Mahindra Financial Services Ltd28/04/2022</t>
  </si>
  <si>
    <t>Hero MotoCorp Ltd.28/04/2022</t>
  </si>
  <si>
    <t>Biocon Ltd.28/04/2022</t>
  </si>
  <si>
    <t>UPL Ltd.28/04/2022</t>
  </si>
  <si>
    <t>Tata Consultancy Services Ltd.28/04/2022</t>
  </si>
  <si>
    <t>Maruti Suzuki India Ltd.28/04/2022</t>
  </si>
  <si>
    <t>Jindal Steel &amp; Power Ltd.28/04/2022</t>
  </si>
  <si>
    <t>InterGlobe Aviation Ltd.28/04/2022</t>
  </si>
  <si>
    <t>Lupin Ltd.28/04/2022</t>
  </si>
  <si>
    <t>Firstsource Solutions Ltd.28/04/2022</t>
  </si>
  <si>
    <t>Metropolis Healthcare Ltd.28/04/2022</t>
  </si>
  <si>
    <t>Exide Industries Ltd.28/04/2022</t>
  </si>
  <si>
    <t>Nestle India Ltd.28/04/2022</t>
  </si>
  <si>
    <t>Godrej Consumer Products Ltd.28/04/2022</t>
  </si>
  <si>
    <t>Deepak Nitrite Ltd.28/04/2022</t>
  </si>
  <si>
    <t>SBI Life Insurance Company Ltd.28/04/2022</t>
  </si>
  <si>
    <t>Balrampur Chini Mills Ltd.28/04/2022</t>
  </si>
  <si>
    <t>Bharat Forge Ltd.28/04/2022</t>
  </si>
  <si>
    <t>Cipla Ltd.28/04/2022</t>
  </si>
  <si>
    <t>Muthoot Finance Ltd.28/04/2022</t>
  </si>
  <si>
    <t>HDFC Bank Ltd.28/04/2022</t>
  </si>
  <si>
    <t>ICICI Prudential Life Insurance Co Ltd.28/04/2022</t>
  </si>
  <si>
    <t>Ambuja Cements Ltd.28/04/2022</t>
  </si>
  <si>
    <t>NMDC Ltd.28/04/2022</t>
  </si>
  <si>
    <t>Bharat Electronics Ltd.28/04/2022</t>
  </si>
  <si>
    <t>DLF Ltd.28/04/2022</t>
  </si>
  <si>
    <t>State Bank of India28/04/2022</t>
  </si>
  <si>
    <t>United Spirits Ltd.28/04/2022</t>
  </si>
  <si>
    <t>Indian Energy Exchange Ltd.28/04/2022</t>
  </si>
  <si>
    <t>LIC Housing Finance Ltd.28/04/2022</t>
  </si>
  <si>
    <t>HCL Technologies Ltd.28/04/2022</t>
  </si>
  <si>
    <t>P I INDUSTRIES LIMITED28/04/2022</t>
  </si>
  <si>
    <t>SRF Ltd.28/04/2022</t>
  </si>
  <si>
    <t>Godrej Properties Ltd.28/04/2022</t>
  </si>
  <si>
    <t>Vodafone Idea Ltd.28/04/2022</t>
  </si>
  <si>
    <t>Tata Communications Ltd.28/04/2022</t>
  </si>
  <si>
    <t>Power Finance Corporation Ltd.28/04/2022</t>
  </si>
  <si>
    <t>RBL Bank Ltd.28/04/2022</t>
  </si>
  <si>
    <t>Sun TV Network Ltd.28/04/2022</t>
  </si>
  <si>
    <t>Multi Commodity Exchange Of India Ltd.28/04/2022</t>
  </si>
  <si>
    <t>Hindalco Industries Ltd.28/04/2022</t>
  </si>
  <si>
    <t>Punjab National Bank28/04/2022</t>
  </si>
  <si>
    <t>ITC Ltd.28/04/2022</t>
  </si>
  <si>
    <t>Motherson Sumi Systems Ltd.28/04/2022</t>
  </si>
  <si>
    <t>Hindustan Aeronautics Ltd.28/04/2022</t>
  </si>
  <si>
    <t>Piramal Enterprises Ltd.28/04/2022</t>
  </si>
  <si>
    <t>IDFC Ltd.28/04/2022</t>
  </si>
  <si>
    <t>Larsen &amp; Toubro Ltd.28/04/2022</t>
  </si>
  <si>
    <t>Bajaj Finance Ltd.28/04/2022</t>
  </si>
  <si>
    <t>Coforge Ltd.28/04/2022</t>
  </si>
  <si>
    <t>HDFC Life Insurance Company Ltd.28/04/2022</t>
  </si>
  <si>
    <t>Hindustan Unilever Ltd.28/04/2022</t>
  </si>
  <si>
    <t>Axis Bank Ltd.28/04/2022</t>
  </si>
  <si>
    <t>Grasim Industries Ltd.28/04/2022</t>
  </si>
  <si>
    <t>MindTree Ltd.28/04/2022</t>
  </si>
  <si>
    <t>Bandhan Bank Ltd.28/04/2022</t>
  </si>
  <si>
    <t>Infosys Ltd.28/04/2022</t>
  </si>
  <si>
    <t>Tata Steel Ltd.28/04/2022</t>
  </si>
  <si>
    <t>PVR Ltd.28/04/2022</t>
  </si>
  <si>
    <t>IndusInd Bank Ltd.28/04/2022</t>
  </si>
  <si>
    <t>Kotak Mahindra Bank Ltd.28/04/2022</t>
  </si>
  <si>
    <t>National Aluminium Company Ltd.28/04/2022</t>
  </si>
  <si>
    <t>Tata Power Company Ltd.28/04/2022</t>
  </si>
  <si>
    <t>Steel Authority of India Ltd.28/04/2022</t>
  </si>
  <si>
    <t>Zee Entertainment Enterprises Ltd.28/04/2022</t>
  </si>
  <si>
    <t>Housing Development Finance Corporation Ltd.28/04/2022</t>
  </si>
  <si>
    <t>Adani Enterprises Ltd.28/04/2022</t>
  </si>
  <si>
    <t>Vedanta Ltd.28/04/2022</t>
  </si>
  <si>
    <t>Bharti Airtel Ltd.28/04/2022</t>
  </si>
  <si>
    <t>Reliance Industries Ltd.28/04/2022</t>
  </si>
  <si>
    <t>Adani Ports &amp; Special Economic Zone Ltd.28/04/2022</t>
  </si>
  <si>
    <t>INE001A07SM4</t>
  </si>
  <si>
    <t>IN0020120013</t>
  </si>
  <si>
    <t>IN0020020072</t>
  </si>
  <si>
    <t>IN0020200021</t>
  </si>
  <si>
    <t>IN0020160050</t>
  </si>
  <si>
    <t>IN0020070028</t>
  </si>
  <si>
    <t>IN0020200260</t>
  </si>
  <si>
    <t>IN002021Y445</t>
  </si>
  <si>
    <t>IN002021Y452</t>
  </si>
  <si>
    <t>IN002021Z053</t>
  </si>
  <si>
    <t>IN002021Y338</t>
  </si>
  <si>
    <t>IN002021Y478</t>
  </si>
  <si>
    <t>IN002021Z442</t>
  </si>
  <si>
    <t>IN002021Z301</t>
  </si>
  <si>
    <t>IN002021Z020</t>
  </si>
  <si>
    <t>IN002021Z426</t>
  </si>
  <si>
    <t>INE860H14W43</t>
  </si>
  <si>
    <t>ICRA A1+</t>
  </si>
  <si>
    <t>Net Receivables/(Payables) include Net Current Assets as well as the Mark to Market on derivative trades.</t>
  </si>
  <si>
    <t>Escorts Ltd.</t>
  </si>
  <si>
    <t>INE042A01014</t>
  </si>
  <si>
    <t>Gland Pharma Ltd.</t>
  </si>
  <si>
    <t>INE068V01023</t>
  </si>
  <si>
    <t>Tata Elxsi Ltd.</t>
  </si>
  <si>
    <t>INE670A01012</t>
  </si>
  <si>
    <t>Alkem Laboratories Ltd.</t>
  </si>
  <si>
    <t>INE540L01014</t>
  </si>
  <si>
    <t>Equitas Holdings Ltd.</t>
  </si>
  <si>
    <t>INE988K01017</t>
  </si>
  <si>
    <t>Hindustan Zinc Ltd.</t>
  </si>
  <si>
    <t>INE267A01025</t>
  </si>
  <si>
    <t>INE0FDU25010</t>
  </si>
  <si>
    <t>GlaxoSmithKline Pharmaceuticals Ltd.</t>
  </si>
  <si>
    <t>INE159A01016</t>
  </si>
  <si>
    <t>V-Mart Retail Ltd.</t>
  </si>
  <si>
    <t>INE665J01013</t>
  </si>
  <si>
    <t>Brigade Enterprises Ltd.</t>
  </si>
  <si>
    <t>INE791I01019</t>
  </si>
  <si>
    <t>Tube Investments Of India Ltd.</t>
  </si>
  <si>
    <t>INE974X01010</t>
  </si>
  <si>
    <t>Schaeffler India Ltd.</t>
  </si>
  <si>
    <t>INE513A01022</t>
  </si>
  <si>
    <t>Colgate Palmolive (India) Ltd.</t>
  </si>
  <si>
    <t>INE259A01022</t>
  </si>
  <si>
    <t>Computer Age Management Services Ltd.</t>
  </si>
  <si>
    <t>INE596I01012</t>
  </si>
  <si>
    <t>Aptus Value Housing Finance India Ltd.</t>
  </si>
  <si>
    <t>INE852O01025</t>
  </si>
  <si>
    <t>Orient Electric Ltd.</t>
  </si>
  <si>
    <t>INE142Z01019</t>
  </si>
  <si>
    <t>Gujarat Fluorochemicals Ltd.</t>
  </si>
  <si>
    <t>INE09N301011</t>
  </si>
  <si>
    <t>Timken India Ltd.</t>
  </si>
  <si>
    <t>INE325A01013</t>
  </si>
  <si>
    <t>Minda Industries Ltd.</t>
  </si>
  <si>
    <t>INE405E01023</t>
  </si>
  <si>
    <t>Amber Enterprises India Ltd.</t>
  </si>
  <si>
    <t>INE371P01015</t>
  </si>
  <si>
    <t>KNR Constructions Ltd.</t>
  </si>
  <si>
    <t>INE634I01029</t>
  </si>
  <si>
    <t>ICICI Securities Ltd.</t>
  </si>
  <si>
    <t>INE763G01038</t>
  </si>
  <si>
    <t>Alkyl Amines Chemicals Ltd.</t>
  </si>
  <si>
    <t>INE150B01039</t>
  </si>
  <si>
    <t>Motherson Sumi Wiring India Ltd.</t>
  </si>
  <si>
    <t>INE0FS801015</t>
  </si>
  <si>
    <t>GAIL (India) Ltd.</t>
  </si>
  <si>
    <t>INE129A01019</t>
  </si>
  <si>
    <t>IN9397D01014</t>
  </si>
  <si>
    <t>HDFC LTD WARRANTS</t>
  </si>
  <si>
    <t>INE001A13049</t>
  </si>
  <si>
    <t>Oil India Ltd.</t>
  </si>
  <si>
    <t>INE274J01014</t>
  </si>
  <si>
    <t>Bajaj Auto Ltd.</t>
  </si>
  <si>
    <t>INE917I01010</t>
  </si>
  <si>
    <t>Voltas Ltd.</t>
  </si>
  <si>
    <t>INE226A01021</t>
  </si>
  <si>
    <t>Nifty Bank 28/04/2022</t>
  </si>
  <si>
    <t>Bajaj Auto Ltd.28/04/2022</t>
  </si>
  <si>
    <t>Voltas Ltd.28/04/2022</t>
  </si>
  <si>
    <t>Colgate Palmolive (India) Ltd.28/04/2022</t>
  </si>
  <si>
    <t>Escorts Ltd.28/04/2022</t>
  </si>
  <si>
    <t>NIFTY 28/04/2022</t>
  </si>
  <si>
    <t>(B)Index / Stock Option</t>
  </si>
  <si>
    <t>PUT NIFTY 28/04/2022 18000</t>
  </si>
  <si>
    <t>PUT NIFTY 28/04/2022 18500</t>
  </si>
  <si>
    <t>PUT NIFTY 28/04/2022 19000</t>
  </si>
  <si>
    <t>INE261F08CK9</t>
  </si>
  <si>
    <t>INE557F08FK3</t>
  </si>
  <si>
    <t>INE219X07264</t>
  </si>
  <si>
    <t>INE219X07132</t>
  </si>
  <si>
    <t>INE216A08027</t>
  </si>
  <si>
    <t>IN0020180025</t>
  </si>
  <si>
    <t>IN3120170078</t>
  </si>
  <si>
    <t>IN002021Z434</t>
  </si>
  <si>
    <t>INE238A164Y0</t>
  </si>
  <si>
    <t>INE001A14XS7</t>
  </si>
  <si>
    <t>EDEL CRIS PSU+ SDL 50:50 OCT-25 IDX GDP</t>
  </si>
  <si>
    <t>INF754K01OG0</t>
  </si>
  <si>
    <t>Supreme Industries Ltd.</t>
  </si>
  <si>
    <t>INE195A01028</t>
  </si>
  <si>
    <t>Britannia Industries Ltd.</t>
  </si>
  <si>
    <t>INE216A01030</t>
  </si>
  <si>
    <t>Wipro Ltd.</t>
  </si>
  <si>
    <t>INE075A01022</t>
  </si>
  <si>
    <t>Emami Ltd.</t>
  </si>
  <si>
    <t>INE548C01032</t>
  </si>
  <si>
    <t>Procter &amp; Gamble Hygiene&amp;HealthCare Ltd.</t>
  </si>
  <si>
    <t>INE179A01014</t>
  </si>
  <si>
    <t>IN002021Z103</t>
  </si>
  <si>
    <t>IN002021Z038</t>
  </si>
  <si>
    <t>The Phoenix Mills Ltd.</t>
  </si>
  <si>
    <t>INE211B01039</t>
  </si>
  <si>
    <t>Max Healthcare Institute Ltd.</t>
  </si>
  <si>
    <t>INE027H01010</t>
  </si>
  <si>
    <t>Cummins India Ltd.</t>
  </si>
  <si>
    <t>INE298A01020</t>
  </si>
  <si>
    <t>Century Plyboards (India) Ltd.</t>
  </si>
  <si>
    <t>INE348B01021</t>
  </si>
  <si>
    <t>Praj Industries Ltd.</t>
  </si>
  <si>
    <t>INE074A01025</t>
  </si>
  <si>
    <t>GMM Pfaudler Ltd.</t>
  </si>
  <si>
    <t>INE541A01023</t>
  </si>
  <si>
    <t>Dixon Technologies (India) Ltd.</t>
  </si>
  <si>
    <t>INE935N01020</t>
  </si>
  <si>
    <t>Action Construction Equipment Ltd.</t>
  </si>
  <si>
    <t>INE731H01025</t>
  </si>
  <si>
    <t>Mahindra Logistics Ltd.</t>
  </si>
  <si>
    <t>INE766P01016</t>
  </si>
  <si>
    <t>Gateway Distriparks Ltd.</t>
  </si>
  <si>
    <t>INE079J01017</t>
  </si>
  <si>
    <t>APL Apollo Tubes Ltd.</t>
  </si>
  <si>
    <t>INE702C01027</t>
  </si>
  <si>
    <t>Honeywell Automation India Ltd.</t>
  </si>
  <si>
    <t>INE671A01010</t>
  </si>
  <si>
    <t>CSB Bank Ltd.</t>
  </si>
  <si>
    <t>INE679A01013</t>
  </si>
  <si>
    <t>Greenpanel Industries Ltd.</t>
  </si>
  <si>
    <t>INE08ZM01014</t>
  </si>
  <si>
    <t>Creditaccess Grameen Ltd.</t>
  </si>
  <si>
    <t>INE741K01010</t>
  </si>
  <si>
    <t>Ratnamani Metals &amp; Tubes Ltd.</t>
  </si>
  <si>
    <t>INE703B01027</t>
  </si>
  <si>
    <t>JK Lakshmi Cement Ltd.</t>
  </si>
  <si>
    <t>INE786A01032</t>
  </si>
  <si>
    <t>Atul Ltd.</t>
  </si>
  <si>
    <t>INE100A01010</t>
  </si>
  <si>
    <t>Kansai Nerolac Paints Ltd.</t>
  </si>
  <si>
    <t>INE531A01024</t>
  </si>
  <si>
    <t>AIA Engineering Ltd.</t>
  </si>
  <si>
    <t>INE212H01026</t>
  </si>
  <si>
    <t>JB Chemicals &amp; Pharmaceuticals Ltd.</t>
  </si>
  <si>
    <t>INE572A01028</t>
  </si>
  <si>
    <t>KEI Industries Ltd.</t>
  </si>
  <si>
    <t>INE878B01027</t>
  </si>
  <si>
    <t>K.P.R. Mill Ltd.</t>
  </si>
  <si>
    <t>INE930H01031</t>
  </si>
  <si>
    <t>Mastek Ltd.</t>
  </si>
  <si>
    <t>INE759A01021</t>
  </si>
  <si>
    <t>Grindwell Norton Ltd.</t>
  </si>
  <si>
    <t>INE536A01023</t>
  </si>
  <si>
    <t>Mold-Tek Packaging Ltd.</t>
  </si>
  <si>
    <t>INE893J01029</t>
  </si>
  <si>
    <t>Teamlease Services Ltd.</t>
  </si>
  <si>
    <t>INE985S01024</t>
  </si>
  <si>
    <t>TCI Express Ltd.</t>
  </si>
  <si>
    <t>INE586V01016</t>
  </si>
  <si>
    <t>Voltamp Transformers Ltd.</t>
  </si>
  <si>
    <t>INE540H01012</t>
  </si>
  <si>
    <t>Fine Organic Industries Ltd.</t>
  </si>
  <si>
    <t>INE686Y01026</t>
  </si>
  <si>
    <t>Indian Bank</t>
  </si>
  <si>
    <t>INE562A01011</t>
  </si>
  <si>
    <t>PNC Infratech Ltd.</t>
  </si>
  <si>
    <t>INE195J01029</t>
  </si>
  <si>
    <t>Jamna Auto Industries Ltd.</t>
  </si>
  <si>
    <t>INE039C01032</t>
  </si>
  <si>
    <t>Garware Technical Fibres Ltd.</t>
  </si>
  <si>
    <t>INE276A01018</t>
  </si>
  <si>
    <t>RHI Magnesita India Ltd.</t>
  </si>
  <si>
    <t>INE743M01012</t>
  </si>
  <si>
    <t>KEC International Ltd.</t>
  </si>
  <si>
    <t>INE389H01022</t>
  </si>
  <si>
    <t>Kajaria Ceramics Ltd.</t>
  </si>
  <si>
    <t>INE217B01036</t>
  </si>
  <si>
    <t>Westlife Development Ltd.</t>
  </si>
  <si>
    <t>INE274F01020</t>
  </si>
  <si>
    <t>Angel One Ltd.</t>
  </si>
  <si>
    <t>INE732I01013</t>
  </si>
  <si>
    <t>Zydus Wellness Ltd.</t>
  </si>
  <si>
    <t>INE768C01010</t>
  </si>
  <si>
    <t>The Great Eastern Shipping Company Ltd.</t>
  </si>
  <si>
    <t>INE017A01032</t>
  </si>
  <si>
    <t>Subros Ltd.</t>
  </si>
  <si>
    <t>INE287B01021</t>
  </si>
  <si>
    <t>Tejas Networks Ltd.</t>
  </si>
  <si>
    <t>INE010J01012</t>
  </si>
  <si>
    <t>Telecom -  Equipment &amp; Accessories</t>
  </si>
  <si>
    <t>Apar Industries Ltd.</t>
  </si>
  <si>
    <t>INE372A01015</t>
  </si>
  <si>
    <t>Agro Tech Foods Ltd.</t>
  </si>
  <si>
    <t>INE209A01019</t>
  </si>
  <si>
    <t>Suven Pharmaceuticals Ltd.</t>
  </si>
  <si>
    <t>INE03QK01018</t>
  </si>
  <si>
    <t>Ashoka Buildcon Ltd.</t>
  </si>
  <si>
    <t>INE442H01029</t>
  </si>
  <si>
    <t>Sudarshan Chemical Industries Ltd.</t>
  </si>
  <si>
    <t>INE659A01023</t>
  </si>
  <si>
    <t>Ahluwalia Contracts (India) Ltd.</t>
  </si>
  <si>
    <t>INE758C01029</t>
  </si>
  <si>
    <t>Vedant Fashions Ltd.</t>
  </si>
  <si>
    <t>INE825V01034</t>
  </si>
  <si>
    <t>NOCIL Ltd.</t>
  </si>
  <si>
    <t>INE163A01018</t>
  </si>
  <si>
    <t>Cholamandalam Financial Holdings Ltd.</t>
  </si>
  <si>
    <t>INE149A01033</t>
  </si>
  <si>
    <t>Vinati Organics Ltd.</t>
  </si>
  <si>
    <t>INE410B01037</t>
  </si>
  <si>
    <t>Rategain Travel Technologies Ltd.</t>
  </si>
  <si>
    <t>INE0CLI01024</t>
  </si>
  <si>
    <t>MOLD-TEK PACKAGING WARRANT</t>
  </si>
  <si>
    <t>INE893J13016</t>
  </si>
  <si>
    <t>PB Fintech Ltd.</t>
  </si>
  <si>
    <t>INE417T01026</t>
  </si>
  <si>
    <t>Financial Technology (Fintech)</t>
  </si>
  <si>
    <t>BEML Ltd.</t>
  </si>
  <si>
    <t>INE258A01016</t>
  </si>
  <si>
    <t>Tarsons Products Ltd.</t>
  </si>
  <si>
    <t>INE144Z01023</t>
  </si>
  <si>
    <t>WABCO India Ltd.</t>
  </si>
  <si>
    <t>INE342J01019</t>
  </si>
  <si>
    <t>RailTel Corporation of India Ltd.</t>
  </si>
  <si>
    <t>INE0DD101019</t>
  </si>
  <si>
    <t>INE0CCU25019</t>
  </si>
  <si>
    <t>INF754K01GM4</t>
  </si>
  <si>
    <t>Yes Bank Ltd.</t>
  </si>
  <si>
    <t>Adani Total Gas Ltd.</t>
  </si>
  <si>
    <t>INE399L01023</t>
  </si>
  <si>
    <t>Indian Railway Catering &amp;Tou. Corp. Ltd.</t>
  </si>
  <si>
    <t>INE335Y01020</t>
  </si>
  <si>
    <t>INE528G01035</t>
  </si>
  <si>
    <t>FORTIS HEALTHCARE LIMITED</t>
  </si>
  <si>
    <t>INE061F01013</t>
  </si>
  <si>
    <t>VARUN BEVERAGES LIMITED</t>
  </si>
  <si>
    <t>INE200M01013</t>
  </si>
  <si>
    <t>MRF Ltd.</t>
  </si>
  <si>
    <t>INE883A01011</t>
  </si>
  <si>
    <t>Sundaram Finance Ltd.</t>
  </si>
  <si>
    <t>INE660A01013</t>
  </si>
  <si>
    <t>Adani Green Energy Ltd.</t>
  </si>
  <si>
    <t>INE364U01010</t>
  </si>
  <si>
    <t>Sona BLW Precision Forgings Ltd.</t>
  </si>
  <si>
    <t>INE073K01018</t>
  </si>
  <si>
    <t>Adani Transmission Ltd.</t>
  </si>
  <si>
    <t>INE931S01010</t>
  </si>
  <si>
    <t>JSW Energy Ltd.</t>
  </si>
  <si>
    <t>INE121E01018</t>
  </si>
  <si>
    <t>Avenue Supermarts Ltd.</t>
  </si>
  <si>
    <t>INE192R01011</t>
  </si>
  <si>
    <t>Aavas Financiers Ltd.</t>
  </si>
  <si>
    <t>INE216P01012</t>
  </si>
  <si>
    <t>CG Power and Industrial Solutions Ltd.</t>
  </si>
  <si>
    <t>INE067A01029</t>
  </si>
  <si>
    <t>Aditya Birla Fashion and Retail Ltd.</t>
  </si>
  <si>
    <t>INE647O01011</t>
  </si>
  <si>
    <t>Macrotech Developers Ltd.</t>
  </si>
  <si>
    <t>INE670K01029</t>
  </si>
  <si>
    <t>Sundram Fasteners Ltd.</t>
  </si>
  <si>
    <t>INE387A01021</t>
  </si>
  <si>
    <t>Rajesh Exports Ltd.</t>
  </si>
  <si>
    <t>INE343B01030</t>
  </si>
  <si>
    <t>Dr. Lal Path Labs Ltd.</t>
  </si>
  <si>
    <t>INE600L01024</t>
  </si>
  <si>
    <t>SKF India Ltd.</t>
  </si>
  <si>
    <t>INE640A01023</t>
  </si>
  <si>
    <t>Linde India Ltd.</t>
  </si>
  <si>
    <t>INE473A01011</t>
  </si>
  <si>
    <t>CRISIL Ltd.</t>
  </si>
  <si>
    <t>INE007A01025</t>
  </si>
  <si>
    <t>Relaxo Footwears Ltd.</t>
  </si>
  <si>
    <t>INE131B01039</t>
  </si>
  <si>
    <t>Thermax Ltd.</t>
  </si>
  <si>
    <t>INE152A01029</t>
  </si>
  <si>
    <t>NHPC Ltd.</t>
  </si>
  <si>
    <t>INE848E01016</t>
  </si>
  <si>
    <t>Natco Pharma Ltd.</t>
  </si>
  <si>
    <t>INE987B01026</t>
  </si>
  <si>
    <t>Prestige Estates Projects Ltd.</t>
  </si>
  <si>
    <t>INE811K01011</t>
  </si>
  <si>
    <t>Sanofi India Ltd.</t>
  </si>
  <si>
    <t>INE058A01010</t>
  </si>
  <si>
    <t>Solar Industries India Ltd.</t>
  </si>
  <si>
    <t>INE343H01029</t>
  </si>
  <si>
    <t>Trident Ltd.</t>
  </si>
  <si>
    <t>INE064C01022</t>
  </si>
  <si>
    <t>Affle (India) Ltd.</t>
  </si>
  <si>
    <t>INE00WC01027</t>
  </si>
  <si>
    <t>Happiest Minds Technologies Ltd.</t>
  </si>
  <si>
    <t>INE419U01012</t>
  </si>
  <si>
    <t>Indiamart Intermesh Ltd.</t>
  </si>
  <si>
    <t>INE933S01016</t>
  </si>
  <si>
    <t>Bayer Cropscience Ltd.</t>
  </si>
  <si>
    <t>INE462A01022</t>
  </si>
  <si>
    <t>L&amp;T Finance Holdings Ltd.</t>
  </si>
  <si>
    <t>INE498L01015</t>
  </si>
  <si>
    <t>Hatsun Agro Product Ltd.</t>
  </si>
  <si>
    <t>INE473B01035</t>
  </si>
  <si>
    <t>Sumitomo Chemical India Ltd.</t>
  </si>
  <si>
    <t>INE258G01013</t>
  </si>
  <si>
    <t>3M India Ltd.</t>
  </si>
  <si>
    <t>INE470A01017</t>
  </si>
  <si>
    <t>Bajaj Holdings &amp; Investment Ltd.</t>
  </si>
  <si>
    <t>INE118A01012</t>
  </si>
  <si>
    <t>Ajanta Pharma Ltd.</t>
  </si>
  <si>
    <t>INE031B01049</t>
  </si>
  <si>
    <t>Union Bank of India</t>
  </si>
  <si>
    <t>INE692A01016</t>
  </si>
  <si>
    <t>Nuvoco Vistas Corporation Ltd.</t>
  </si>
  <si>
    <t>INE118D01016</t>
  </si>
  <si>
    <t>Blue Dart Express Ltd.</t>
  </si>
  <si>
    <t>INE233B01017</t>
  </si>
  <si>
    <t>Indian Railway Finance Corporation Ltd.</t>
  </si>
  <si>
    <t>INE053F01010</t>
  </si>
  <si>
    <t>Endurance Technologies Ltd.</t>
  </si>
  <si>
    <t>INE913H01037</t>
  </si>
  <si>
    <t>Bank of India</t>
  </si>
  <si>
    <t>INE084A01016</t>
  </si>
  <si>
    <t>Clean Science and Technology Ltd.</t>
  </si>
  <si>
    <t>INE227W01023</t>
  </si>
  <si>
    <t>Star Health &amp; Allied Insurance Co Ltd.</t>
  </si>
  <si>
    <t>INE575P01011</t>
  </si>
  <si>
    <t>Godrej Industries Ltd.</t>
  </si>
  <si>
    <t>INE233A01035</t>
  </si>
  <si>
    <t>HDFC Asset Management Company Ltd.</t>
  </si>
  <si>
    <t>INE127D01025</t>
  </si>
  <si>
    <t>General Insurance Corporation of India</t>
  </si>
  <si>
    <t>INE481Y01014</t>
  </si>
  <si>
    <t>The New India Assurance Company Ltd.</t>
  </si>
  <si>
    <t>INE470Y01017</t>
  </si>
  <si>
    <t>Zomato Ltd.</t>
  </si>
  <si>
    <t>INE758T01015</t>
  </si>
  <si>
    <t>IDBI Bank Ltd.</t>
  </si>
  <si>
    <t>INE008A01015</t>
  </si>
  <si>
    <t>FSN E Commerce Ventures Ltd</t>
  </si>
  <si>
    <t>INE388Y01029</t>
  </si>
  <si>
    <t>One 97 Communications Ltd.</t>
  </si>
  <si>
    <t>INE982J01020</t>
  </si>
  <si>
    <t>MTAR Technologies Ltd.</t>
  </si>
  <si>
    <t>INE864I01014</t>
  </si>
  <si>
    <t>Go Fashion (India) Ltd.</t>
  </si>
  <si>
    <t>INE0BJS01011</t>
  </si>
  <si>
    <t>Metro Brands Ltd.</t>
  </si>
  <si>
    <t>INE317I01021</t>
  </si>
  <si>
    <t>C.E. Info Systems Ltd.</t>
  </si>
  <si>
    <t>INE0BV301023</t>
  </si>
  <si>
    <t>Devyani International Ltd.</t>
  </si>
  <si>
    <t>INE872J01023</t>
  </si>
  <si>
    <t>G R Infraprojects Ltd.</t>
  </si>
  <si>
    <t>INE201P01022</t>
  </si>
  <si>
    <t>Latent View Analytics Ltd.</t>
  </si>
  <si>
    <t>INE0I7C01011</t>
  </si>
  <si>
    <t>Data Patterns (India) Ltd.</t>
  </si>
  <si>
    <t>INE0IX101010</t>
  </si>
  <si>
    <t>Medplus Health Services Ltd.</t>
  </si>
  <si>
    <t>INE804L01022</t>
  </si>
  <si>
    <t>Rossari Biotech Ltd.</t>
  </si>
  <si>
    <t>INE02A801020</t>
  </si>
  <si>
    <t>Indigo Paints Ltd.</t>
  </si>
  <si>
    <t>INE09VQ01012</t>
  </si>
  <si>
    <t>TCNS Clothing Company Ltd.</t>
  </si>
  <si>
    <t>INE778U01029</t>
  </si>
  <si>
    <t>Aditya Birla Sun Life AMC Ltd.</t>
  </si>
  <si>
    <t>INE404A01024</t>
  </si>
  <si>
    <t>Dodla Dairy Ltd.</t>
  </si>
  <si>
    <t>INE021O01019</t>
  </si>
  <si>
    <t>Vijaya Diagnostic Centre Ltd.</t>
  </si>
  <si>
    <t>INE043W01024</t>
  </si>
  <si>
    <t>Route Mobile Ltd.</t>
  </si>
  <si>
    <t>INE450U01017</t>
  </si>
  <si>
    <t>Krsnaa Diagnostics Ltd.</t>
  </si>
  <si>
    <t>INE08LI01020</t>
  </si>
  <si>
    <t>Dixon Technologies (India) Ltd.28/04/2022</t>
  </si>
  <si>
    <t>HDFC Asset Management Company Ltd.28/04/2022</t>
  </si>
  <si>
    <t>IN002021X496</t>
  </si>
  <si>
    <t>Procter &amp; Gamble Health Ltd.</t>
  </si>
  <si>
    <t>INE199A01012</t>
  </si>
  <si>
    <t>Sonata Software Ltd.</t>
  </si>
  <si>
    <t>INE269A01021</t>
  </si>
  <si>
    <t>CALL NIFTY 28/04/2022 15500</t>
  </si>
  <si>
    <t>INE722A07851</t>
  </si>
  <si>
    <t>CARE AA</t>
  </si>
  <si>
    <t>INE831R07235</t>
  </si>
  <si>
    <t>INE081A08181</t>
  </si>
  <si>
    <t>CARE AA+</t>
  </si>
  <si>
    <t>INE053A07182</t>
  </si>
  <si>
    <t>INE414G07CD9</t>
  </si>
  <si>
    <t>CRISIL AA+</t>
  </si>
  <si>
    <t>INE774N07087</t>
  </si>
  <si>
    <t>INE038A07258</t>
  </si>
  <si>
    <t>INE556F08JK7</t>
  </si>
  <si>
    <t>INE031A08640</t>
  </si>
  <si>
    <t>INE018E08060</t>
  </si>
  <si>
    <t>IN002021X561</t>
  </si>
  <si>
    <t>IN002021X587</t>
  </si>
  <si>
    <t>INE238A160Y8</t>
  </si>
  <si>
    <t>INE028A16CJ8</t>
  </si>
  <si>
    <t>INE040A16CR6</t>
  </si>
  <si>
    <t>INE238A167W7</t>
  </si>
  <si>
    <t>INE092T16QU1</t>
  </si>
  <si>
    <t>INE242A14VY9</t>
  </si>
  <si>
    <t>INE296A14SY1</t>
  </si>
  <si>
    <t>INE233A14TV8</t>
  </si>
  <si>
    <t>INE110L14QM0</t>
  </si>
  <si>
    <t>INE094A14IJ2</t>
  </si>
  <si>
    <t>INE261F14IK4</t>
  </si>
  <si>
    <t>INE763G14LM7</t>
  </si>
  <si>
    <t>INE397D14373</t>
  </si>
  <si>
    <t>INE957N14FL5</t>
  </si>
  <si>
    <t>INE514E14QF2</t>
  </si>
  <si>
    <t>INE850D14KZ3</t>
  </si>
  <si>
    <t>INE110L14QN8</t>
  </si>
  <si>
    <t>INE242A14WD1</t>
  </si>
  <si>
    <t>INE261F14IP3</t>
  </si>
  <si>
    <t>INE001A14YM8</t>
  </si>
  <si>
    <t>INE865C14HG9</t>
  </si>
  <si>
    <t>Foreign Securities and/or Overseas ETFs</t>
  </si>
  <si>
    <t>International  Mutual Fund Units</t>
  </si>
  <si>
    <t>LU0441852299</t>
  </si>
  <si>
    <t>LU1727356906</t>
  </si>
  <si>
    <t>JOHNSON &amp; JOHNSON</t>
  </si>
  <si>
    <t>US4781601046</t>
  </si>
  <si>
    <t>Pharmaceuticals</t>
  </si>
  <si>
    <t>PFIZER INC</t>
  </si>
  <si>
    <t>US7170811035</t>
  </si>
  <si>
    <t>ABBVIE INC</t>
  </si>
  <si>
    <t>US00287Y1091</t>
  </si>
  <si>
    <t>Biotechnology</t>
  </si>
  <si>
    <t>THERMO FISHER SCIENTIFIC INC</t>
  </si>
  <si>
    <t>US8835561023</t>
  </si>
  <si>
    <t>Life Sciences Tools &amp; Services</t>
  </si>
  <si>
    <t>ABBOTT LABORATORIES</t>
  </si>
  <si>
    <t>US0028241000</t>
  </si>
  <si>
    <t>Health Care Equipment &amp; Supplies</t>
  </si>
  <si>
    <t>MERCK &amp; CO.INC</t>
  </si>
  <si>
    <t>US58933Y1055</t>
  </si>
  <si>
    <t>NOVARTIS AG</t>
  </si>
  <si>
    <t>US66987V1098</t>
  </si>
  <si>
    <t>DANAHER CORP</t>
  </si>
  <si>
    <t>US2358511028</t>
  </si>
  <si>
    <t>BRISTOL-MYERS SQUIBB COMPANY</t>
  </si>
  <si>
    <t>US1101221083</t>
  </si>
  <si>
    <t>MEDTRONIC PLC</t>
  </si>
  <si>
    <t>IE00BTN1Y115</t>
  </si>
  <si>
    <t>AMGEN INC</t>
  </si>
  <si>
    <t>US0311621009</t>
  </si>
  <si>
    <t>INTUITIVE SURGICAL INC</t>
  </si>
  <si>
    <t>US46120E6023</t>
  </si>
  <si>
    <t>STRYKER CORP</t>
  </si>
  <si>
    <t>US8636671013</t>
  </si>
  <si>
    <t>BECTON DICKINSON AND CO</t>
  </si>
  <si>
    <t>US0758871091</t>
  </si>
  <si>
    <t>GILEAD SCIENCES INC</t>
  </si>
  <si>
    <t>US3755581036</t>
  </si>
  <si>
    <t>VERTEX PHARMACEUTICALS INC</t>
  </si>
  <si>
    <t>US92532F1003</t>
  </si>
  <si>
    <t>MODERNA INC</t>
  </si>
  <si>
    <t>US60770K1079</t>
  </si>
  <si>
    <t>PHARMACEUTICALS</t>
  </si>
  <si>
    <t>ILLUMINA INC</t>
  </si>
  <si>
    <t>US4523271090</t>
  </si>
  <si>
    <t>IQVIA HOLDINGS INC</t>
  </si>
  <si>
    <t>US46266C1053</t>
  </si>
  <si>
    <t>AGILENT TECHNOLOGIES INC</t>
  </si>
  <si>
    <t>US00846U1016</t>
  </si>
  <si>
    <t>LU0248045857</t>
  </si>
  <si>
    <t>LU0431993749</t>
  </si>
  <si>
    <t>LU0248060658</t>
  </si>
  <si>
    <t>LU1814674104</t>
  </si>
  <si>
    <t>Notes:</t>
  </si>
  <si>
    <t>1. Security in default beyond its maturiy date</t>
  </si>
  <si>
    <t>Plan /option (Face Value 10)</t>
  </si>
  <si>
    <t>As on</t>
  </si>
  <si>
    <t>Direct Plan Annual IDCW Option</t>
  </si>
  <si>
    <t>Direct Plan Bonus Option</t>
  </si>
  <si>
    <t>^</t>
  </si>
  <si>
    <t>Direct Plan Growth Option</t>
  </si>
  <si>
    <t>Direct Plan IDCW Option</t>
  </si>
  <si>
    <t>Institutional Annual IDCW Option</t>
  </si>
  <si>
    <t>Institutional Growth Option</t>
  </si>
  <si>
    <t>Institutional IDCW Option</t>
  </si>
  <si>
    <t>Regular Plan - Annual IDCW Option</t>
  </si>
  <si>
    <t>Regular Plan - Bonus Option</t>
  </si>
  <si>
    <t>Regular Plan - Growth</t>
  </si>
  <si>
    <t>Regular Plan - IDCW Option</t>
  </si>
  <si>
    <t>Regular Plan Bonus Option</t>
  </si>
  <si>
    <t>^ There were no investors in this option.</t>
  </si>
  <si>
    <t>7. Average Portfolio Maturity</t>
  </si>
  <si>
    <t>9. Margin Deposits includes Margin money placed on derivatives other than margin money placed with bank</t>
  </si>
  <si>
    <t>Plan /option (Face Value 1000)</t>
  </si>
  <si>
    <t>Growth Option</t>
  </si>
  <si>
    <t>10. Value of investment made by other schemes under same management (Rs. In Lakhs)</t>
  </si>
  <si>
    <t>Direct Plan Fortnightly IDCW Option</t>
  </si>
  <si>
    <t>Direct Plan Monthly IDCW Option</t>
  </si>
  <si>
    <t>Direct Plan Weekly IDCW Option</t>
  </si>
  <si>
    <t>Regular Plan Fortnightly IDCW Option</t>
  </si>
  <si>
    <t>Regular Plan Growth Option</t>
  </si>
  <si>
    <t>Regular Plan IDCW Option</t>
  </si>
  <si>
    <t>Regular Plan Monthly IDCW Option</t>
  </si>
  <si>
    <t>Regular Plan Weekly IDCW Option</t>
  </si>
  <si>
    <t>Plan/Option Name</t>
  </si>
  <si>
    <t xml:space="preserve"> </t>
  </si>
  <si>
    <t>others</t>
  </si>
  <si>
    <t>Regular Plan Fortnightly IDCW</t>
  </si>
  <si>
    <t>Direct Plan Monthly IDCW</t>
  </si>
  <si>
    <t>Direct Plan weekly IDCW</t>
  </si>
  <si>
    <t>Direct Plan - IDCW</t>
  </si>
  <si>
    <t>Direct Plan Fortnightly IDCW</t>
  </si>
  <si>
    <t>Regular Plan IDCW</t>
  </si>
  <si>
    <t>Regular Plan Weekly IDCW</t>
  </si>
  <si>
    <t>Regular Plan Monthly IDCW</t>
  </si>
  <si>
    <t>Direct Plan Daily IDCW Option</t>
  </si>
  <si>
    <t>Regular Annual IDCW Option</t>
  </si>
  <si>
    <t>Regular Daily IDCW Option</t>
  </si>
  <si>
    <t>Regular Weekly IDCW</t>
  </si>
  <si>
    <t>Regular Monthly IDCW</t>
  </si>
  <si>
    <t>Direct Daily IDCW</t>
  </si>
  <si>
    <t>Regular Daily IDCW</t>
  </si>
  <si>
    <t>Direct Monthly IDCW</t>
  </si>
  <si>
    <t>Direct Weekly IDCW</t>
  </si>
  <si>
    <t>Regular Fortnightly IDCW</t>
  </si>
  <si>
    <t>Direct Fortnightly IDCW</t>
  </si>
  <si>
    <t>7. Portfolio Turnover Ratio</t>
  </si>
  <si>
    <t>Direct plan -Quarterly IDCW option</t>
  </si>
  <si>
    <t>Regular Plan -Quarterly IDCW option</t>
  </si>
  <si>
    <t>Regular Plan - Quarterly IDCW</t>
  </si>
  <si>
    <t>Direct Plan – Monthly IDCW</t>
  </si>
  <si>
    <t>Direct Plan - Quarterly IDCW</t>
  </si>
  <si>
    <t>Regular Plan - Monthly IDCW</t>
  </si>
  <si>
    <t>Plan B - Growth option</t>
  </si>
  <si>
    <t>Plan B - IDCW option</t>
  </si>
  <si>
    <t>Plan C - Growth option</t>
  </si>
  <si>
    <t>Plan C - IDCW option</t>
  </si>
  <si>
    <t>Direct Plan IDCW</t>
  </si>
  <si>
    <t>Regular IDCW</t>
  </si>
  <si>
    <t>Regular Plan Annual IDCW</t>
  </si>
  <si>
    <t>Regular Plan Daily IDCW</t>
  </si>
  <si>
    <t>Regular Plan Growth</t>
  </si>
  <si>
    <t>Retail Annual IDCW Option</t>
  </si>
  <si>
    <t>Retail Bonus Option</t>
  </si>
  <si>
    <t>Retail Daily IDCW Option</t>
  </si>
  <si>
    <t>Retail Fortnightly IDCW Option</t>
  </si>
  <si>
    <t>Retail Growth Option</t>
  </si>
  <si>
    <t>Retail IDCW Option</t>
  </si>
  <si>
    <t>Retail Monthly IDCW Option</t>
  </si>
  <si>
    <t>Retail Weekly IDCW Option</t>
  </si>
  <si>
    <t>Unclaimed IDCW less than 3 yrs</t>
  </si>
  <si>
    <t>Unclaimed IDCW more than 3 yrs</t>
  </si>
  <si>
    <t>Unclaimed Redemption less than 3 yrs</t>
  </si>
  <si>
    <t>Unclaimed Redemption more than 3 yrs</t>
  </si>
  <si>
    <t>Direct Plan daily IDCW</t>
  </si>
  <si>
    <t>Retail Plan Monthly IDCW</t>
  </si>
  <si>
    <t>Retail Plan Weekly IDCW</t>
  </si>
  <si>
    <t>Retail Plan Daily IDCW</t>
  </si>
  <si>
    <t>8. Margin Deposits includes Margin money placed on derivatives other than margin money placed with bank</t>
  </si>
  <si>
    <t>Fund Id</t>
  </si>
  <si>
    <t>EDELWEISS MUTUAL FUND</t>
  </si>
  <si>
    <t>EDACBF</t>
  </si>
  <si>
    <t>EDBE23</t>
  </si>
  <si>
    <t>EDBE25</t>
  </si>
  <si>
    <t>EDBE30</t>
  </si>
  <si>
    <t>EDBE31</t>
  </si>
  <si>
    <t>EDBE32</t>
  </si>
  <si>
    <t>EDBPDF</t>
  </si>
  <si>
    <t>EDCPSF</t>
  </si>
  <si>
    <t>EDFF23</t>
  </si>
  <si>
    <t>EDFF25</t>
  </si>
  <si>
    <t>EDFF30</t>
  </si>
  <si>
    <t>EDFF31</t>
  </si>
  <si>
    <t>EDFF32</t>
  </si>
  <si>
    <t>EDGSEC</t>
  </si>
  <si>
    <t>EDNP27</t>
  </si>
  <si>
    <t>EDNPSF</t>
  </si>
  <si>
    <t>EDONTF</t>
  </si>
  <si>
    <t>EEARBF</t>
  </si>
  <si>
    <t>EEARFD</t>
  </si>
  <si>
    <t>EEDGEF</t>
  </si>
  <si>
    <t>EEECRF</t>
  </si>
  <si>
    <t>EEELSS</t>
  </si>
  <si>
    <t>EEEQTF</t>
  </si>
  <si>
    <t>EEESCF</t>
  </si>
  <si>
    <t>EEESSF</t>
  </si>
  <si>
    <t>EEIF30</t>
  </si>
  <si>
    <t>EEIF50</t>
  </si>
  <si>
    <t>EELMIF</t>
  </si>
  <si>
    <t>EEMOF1</t>
  </si>
  <si>
    <t>EENFBA</t>
  </si>
  <si>
    <t>EEPRUA</t>
  </si>
  <si>
    <t>EESMCF</t>
  </si>
  <si>
    <t>EFMS55</t>
  </si>
  <si>
    <t>ELLIQF</t>
  </si>
  <si>
    <t>EOASEF</t>
  </si>
  <si>
    <t>EOCHIF</t>
  </si>
  <si>
    <t>EODWHF</t>
  </si>
  <si>
    <t>EOEDOF</t>
  </si>
  <si>
    <t>EOEMOP</t>
  </si>
  <si>
    <t>EOUSEF</t>
  </si>
  <si>
    <t>EOUSTF</t>
  </si>
  <si>
    <t>Yes Bank Ltd.@</t>
  </si>
  <si>
    <t>@ These equity shares are under lock-in of three years till March 12, 2023 pursuant to the Gazette notification (Reference no: G.S.R.174(E)) issued by Ministry of Finance on March 13, 2020, for Yes Bank Limited Reconstruction Scheme, 2020. Further, in accordance with AMFI guidance, these equity shares are valued at ZERO with effect from March 16,  2020. For any realisation beyond the carrying value shall be distributed to the set of investors existing the unit holders’ register /BENPOS as on March 13, 2020.</t>
  </si>
  <si>
    <t>10 Number of instance of deviation In valuation of securities</t>
  </si>
  <si>
    <t>11 Total value and percentage of illiquid equity shares / securities</t>
  </si>
  <si>
    <t>11 Number of instance of deviation In valuation of securities</t>
  </si>
  <si>
    <t>12 Total value and percentage of illiquid equity shares / securities</t>
  </si>
  <si>
    <t>(c) Listed / Awaiting listing on International Stock Exchanges</t>
  </si>
  <si>
    <t>PORTFOLIO STATEMENT as on 31 Mar 2022</t>
  </si>
  <si>
    <t>Edelweiss Mutual Fund</t>
  </si>
  <si>
    <t>9.00% L &amp; T Finance Ltd. NCD Red 13-04-2022 **</t>
  </si>
  <si>
    <t>HDFC Bank CD Red 17-08-2022#**</t>
  </si>
  <si>
    <t>Axis Bank Ltd CD Red 16-06-2022#**</t>
  </si>
  <si>
    <t>Canara Bank CD Red 22-08-2022#**</t>
  </si>
  <si>
    <t>Kotak Mahindra Bank CD Red 17-02-2023#**</t>
  </si>
  <si>
    <t>National Bank for Agriculture and Rural Development CD Red 16-02-2023#**</t>
  </si>
  <si>
    <t>Cholamandalam Investment &amp; Fin Co Ltd 16-06-2022**</t>
  </si>
  <si>
    <t>Godrej &amp; Boyce Mfg Co CP Red 11-04-2022**</t>
  </si>
  <si>
    <t>HDFC Securities Ltd. CP Red 28-04-2022**</t>
  </si>
  <si>
    <t>Reliance Jio Info Ltd CP 20-06-2022**</t>
  </si>
  <si>
    <t>ICICI Securities Ltd CP 10-06-2022**</t>
  </si>
  <si>
    <t>LIC Hsg Finance CP Red 12-08-2022**</t>
  </si>
  <si>
    <t>2. Net Asset Value (Rs. per unit)</t>
  </si>
  <si>
    <t>6.79% Housing &amp; Urban Development Corporation Ltd. NCD Red 14-04-2023 **</t>
  </si>
  <si>
    <t>6.72% National Bank for Agriculture and Rural Development NCD Red 14-04-2023 **</t>
  </si>
  <si>
    <t>7.04% Power Finance Corporation Ltd. NCD Red 14-04-2023 **</t>
  </si>
  <si>
    <t>7.12% Rural Electrification Corporation Ltd. NCD Red 31-03-2023 **</t>
  </si>
  <si>
    <t>6.59% Indian Railway Finance Corporation Ltd. NCD Red 14-04-2023 **</t>
  </si>
  <si>
    <t>6.44% Indian Oil Corporation Ltd. NCD Red 14-04-2023 **</t>
  </si>
  <si>
    <t>6.38% Hindustan Petroleum Corporation Ltd. NCD Red 12-04-2023 **</t>
  </si>
  <si>
    <t>6.64% Mangalore Refinery &amp; Petrochemicals Ltd. NCD Red 14-04-2023 **</t>
  </si>
  <si>
    <t>8.80% Power Grid Corporation of India Ltd. NCD Red 13-03-2023 **</t>
  </si>
  <si>
    <t>8.82% Rural Electrification Corporation Ltd. NCD Red 12-04-2023 **</t>
  </si>
  <si>
    <t>8.50% National Bank for Agriculture and Rural Development NCD Red 31-01-2023**</t>
  </si>
  <si>
    <t>6.35% Power Grid Corporation of India Ltd. NCD Red 14-04-2023 **</t>
  </si>
  <si>
    <t>8.80% National Thermal Power Corporation Ltd. NCD Red 04-04-2023 **</t>
  </si>
  <si>
    <t>8.54% Nuclear Power Corporation NCD Red 15-03-2023**</t>
  </si>
  <si>
    <t>6.27% Small Industries Development Bank of India NCD Red 27-02-2023**</t>
  </si>
  <si>
    <t>8.80% Export Import Bank of India NCD Red 15-03-2023**</t>
  </si>
  <si>
    <t>8.56% Nuclear Power Corporation NCD Red 18-03-2023 **</t>
  </si>
  <si>
    <t>7.35% Power Finance Corporation Ltd. NCD Red 15-10-2022**</t>
  </si>
  <si>
    <t>8.56% Nuclear Power Corporation NCD Red 15-03-2023 **</t>
  </si>
  <si>
    <t>7.93% National Thermal Power Corporation Ltd. NCD Red 03-05-2022 **</t>
  </si>
  <si>
    <t>6.80% Hindustan Petroleum Corporation Ltd NCD Red 15-12-2022**</t>
  </si>
  <si>
    <t>8.93% Export Import Bank of India NCD Red 12-12-2022 **</t>
  </si>
  <si>
    <t>8.73% National Thermal Power Corporation Ltd. NCD Red 07-03-2023 **</t>
  </si>
  <si>
    <t>8.76% Export Import Bank of India NCD Red 14-02-2023 **</t>
  </si>
  <si>
    <t>6.99% Housing &amp; Urban Development Corporation Ltd. NCD Red 11-11-2022**</t>
  </si>
  <si>
    <t>7.05% Housing &amp; Urban Development Corporation Ltd. NCD Red 13-10-2022**</t>
  </si>
  <si>
    <t>6.70% National Bank for Agriculture and Rural Development NCD Red 11-11-2022**</t>
  </si>
  <si>
    <t>7.03% Rural Electrification Corporation Ltd NCD Red 07-09-2022**</t>
  </si>
  <si>
    <t>7.99% Power Finance Corporation Ltd. NCD Red 20-12-2022**</t>
  </si>
  <si>
    <t>Small Industries Development Bank of India CD RED 23-03-2023#**</t>
  </si>
  <si>
    <t>5.40% Indian Oil Corporation Ltd NCD 11-04-25**</t>
  </si>
  <si>
    <t>5.36% Hindustan Petroleum Corporation Ltd. NCD Red 11-04-2025**</t>
  </si>
  <si>
    <t>5.90% Rural Electrification Corporation Ltd. NCD Red 31-03-2025**</t>
  </si>
  <si>
    <t>5.47% National Bank for Agriculture and Rural Development NCD Red 11-04-2025**</t>
  </si>
  <si>
    <t>5.77% Power Finance Corporation Ltd NCD RED 11-04-2025**</t>
  </si>
  <si>
    <t>5.23% National Bank for Agriculture &amp; Rural Devlopment NCD Red 31-01-2025</t>
  </si>
  <si>
    <t>5.35% Housing &amp; Urban Development Corp Ltd NCD Red 11-04-2025**</t>
  </si>
  <si>
    <t>6.88% National Housing Bank Ltd NCD Red 21-01-2025</t>
  </si>
  <si>
    <t>6.35% Export Import Bank of India NCD Red 18-02-2025**</t>
  </si>
  <si>
    <t>5.25% Oil &amp; Natural Gas Corporation Ltd NCD Red 11-04-2025**</t>
  </si>
  <si>
    <t>5.34% NLC India Ltd. NCD Red 11-04-2025**</t>
  </si>
  <si>
    <t>7.42% Power Finance Corporation Ltd NCD Red 19-11-2024**</t>
  </si>
  <si>
    <t>7.05% National Housing Bank NCD Red 18-12-2024**</t>
  </si>
  <si>
    <t>6.99% Indian Railway Finance Corporation Ltd NCD Red 19-03-2025**</t>
  </si>
  <si>
    <t>6.88% Rural Electrification Corporation Ltd NCD Red 20-03-2025**</t>
  </si>
  <si>
    <t>7.40% Rural Electrification Corporation Ltd NCD Red 26-11-2024**</t>
  </si>
  <si>
    <t>9.18% Nuclear Power Corporation NCD Red 23-01-25**</t>
  </si>
  <si>
    <t>8.65% Power Finance Corporation Ltd NCD Red 28-12-2024**</t>
  </si>
  <si>
    <t>6.39% Indian Oil Corporation Ltd NCD Red 06-03-2025</t>
  </si>
  <si>
    <t>8.57% Rural Electrification Corporation Ltd NCD Red 21-12-2024**</t>
  </si>
  <si>
    <t>7.69% National Bank for Agriculture &amp; Rural Devlopment NCD Red 29-05-2024**</t>
  </si>
  <si>
    <t>6.85% Power Grid Corporation of India Ltd NCD Red 15-04-2025**</t>
  </si>
  <si>
    <t>8.27% Rural Electrification Corporation Ltd NCD Red 06-02-2025**</t>
  </si>
  <si>
    <t>9.34% Rural Electrification Corporation Ltd NCD Red 25-08-2024**</t>
  </si>
  <si>
    <t>8.23% Rural Electrification Corporation Ltd NCD Red 23-01-2025**</t>
  </si>
  <si>
    <t>8.48% Power Finance Corporation Ltd NCD Red 09-12-2024**</t>
  </si>
  <si>
    <t>8.20% Power Grid Corporation of India Ltd. NCD Red 23-01-2025**</t>
  </si>
  <si>
    <t>5.74% Rural Electrification Corporation Ltd NCD Red 20-06-2024**</t>
  </si>
  <si>
    <t>8.30% Rural Electrification Corporation Ltd NCD Red 10-04-2025**</t>
  </si>
  <si>
    <t>7.49% Power Grid Corporation of India Ltd. NCD 25-10-2024**</t>
  </si>
  <si>
    <t>8.95% Power Finance Corporation Ltd NCD Red 30-03-2025**</t>
  </si>
  <si>
    <t>8.87% Export Import Bank of India NCD Red 13-03-2025**</t>
  </si>
  <si>
    <t>8.11% Export Import Bank of India NCD Red 03-02-2025**</t>
  </si>
  <si>
    <t>8.80% Power Finance Corporation Ltd NCD Red 15-01-2025**</t>
  </si>
  <si>
    <t>8.93% Power Grid Corporation of India Ltd NCD 19-10-2024**</t>
  </si>
  <si>
    <t>6.99% Rural Electrification Corporation Ltd NCD Red 30-09-2024**</t>
  </si>
  <si>
    <t>8.95% Indian Railway Finance Corporation Ltd. NCD 10-03-2025**</t>
  </si>
  <si>
    <t>9.17% NTPC Ltd NCD Red 21-09-2024**</t>
  </si>
  <si>
    <t>8.15% Power Grid Corporation of India Ltd NCD Red 09-03-2025**</t>
  </si>
  <si>
    <t>8.10% Power Finance Corporation Ltd NCD Red 04-06-2024**</t>
  </si>
  <si>
    <t>5.59% Small Industries Development Bank of India NCD Red 21-02-2025**</t>
  </si>
  <si>
    <t>5.70% Small Industries Development Bank of India NCD Red 28-03-2025</t>
  </si>
  <si>
    <t>5.96% National Bank for Agriculture and Rural Development NCD SR 22F Red 06-02-2025**</t>
  </si>
  <si>
    <t>5.57% Small Industries Development Bank of India NCD Red 03-03-2025**</t>
  </si>
  <si>
    <t>9.00% NTPC Ltd NCD Red 25-01-2025**</t>
  </si>
  <si>
    <t>6.18% Government of India Red 04-11-2024</t>
  </si>
  <si>
    <t>7.03% Hindustan Petroleum Corporation Ltd. NCD Red 12-04-2030 **</t>
  </si>
  <si>
    <t>7.41% Power Finance Corporation Ltd NCD Red 25-02-2030**</t>
  </si>
  <si>
    <t>7.89% Rural Electrification Corporation Ltd. NCD Red 30-03-2030 **</t>
  </si>
  <si>
    <t>7.34% Nuclear Power Corporation NCD Red 23-01-2030 **</t>
  </si>
  <si>
    <t>7.55% Indian Railway Finance Corporation Ltd. NCD Red 12-04-2030 **</t>
  </si>
  <si>
    <t>7.86% Power Finance Corporation Ltd. NCD Red 12-04-2030 **</t>
  </si>
  <si>
    <t>7.54% National Highways Authority of India NCD Red 25-01-2030 **</t>
  </si>
  <si>
    <t>7.4% Mangalore Refinery &amp; Petrochemicals Ltd. NCD Red 12-04-2030 **</t>
  </si>
  <si>
    <t>7.41% Indian Oil Corporation Ltd. NCD Red 22-10-2029 **</t>
  </si>
  <si>
    <t>7.7% National Highways Authority of India NCD Red 13-09-2029 **</t>
  </si>
  <si>
    <t>7.50% Rural Electrification Corporation Ltd NCD Red 28-02-2030**</t>
  </si>
  <si>
    <t>7.75% Mangalore Refinery &amp; Petrochemicals Ltd NCD Red 29-01-2030**</t>
  </si>
  <si>
    <t>7.38% Power Grid Corporation of India Ltd. NCD Red 12-04-2030 **</t>
  </si>
  <si>
    <t>7.49% National Highways Authority of India NCD Red 01-08-2029</t>
  </si>
  <si>
    <t>7.08% Indian Railway Finance Corporation Ltd. NCD Red 28-02-2030**</t>
  </si>
  <si>
    <t>7.32% National Thermal Power Corporation Ltd NCD Red 17-07-2029**</t>
  </si>
  <si>
    <t>7.48% Indian Railway Finance Corporation Ltd NCD Red 13-08-2029**</t>
  </si>
  <si>
    <t>7.55% Indian Railway Finance Corporation Ltd NCD Red 06-11-2029**</t>
  </si>
  <si>
    <t>8.36% National Highways Authority of India NCD Red 20-05-2029**</t>
  </si>
  <si>
    <t>8.09% NLC India Ltd NCD Red 29-05-2029**</t>
  </si>
  <si>
    <t>7.64% Food Corporation of India NCD Red 12-12-2029**</t>
  </si>
  <si>
    <t>7.43% National Bank for Agriculture &amp; Rural Devlopment GOI Serv NCD Red 31-01-2030</t>
  </si>
  <si>
    <t>7.92% Rural Electrification Corporation Ltd. NCD Red 30-03-2030**</t>
  </si>
  <si>
    <t>7.49% Power Grid Corporation of India Ltd. NCD 25-10-2029**</t>
  </si>
  <si>
    <t>7.5% Indian Railway Finance Corporation Ltd NCD Red 07-09-2029**</t>
  </si>
  <si>
    <t>8.3% Rural Electrification Corporation Ltd. NCD Red 25-06-2029**</t>
  </si>
  <si>
    <t>8.85% Rural Electrification Corporation Ltd. NCD Red 16-04-2029**</t>
  </si>
  <si>
    <t>7.27% National Bank for Agriculture &amp; Rural Dev NCD Red 14-02-2030**</t>
  </si>
  <si>
    <t>7.5% NHPC Ltd NCD RED 06-10-2029**</t>
  </si>
  <si>
    <t>7.25% Nuclear Power Corporation NCD Red 15-12-2029 XXXIII C**</t>
  </si>
  <si>
    <t>8.85% Power Finance Corporation Ltd. NCD Red 25-05-2029**</t>
  </si>
  <si>
    <t>7.13% NHPC Ltd NCD 11-02-2030**</t>
  </si>
  <si>
    <t>7.93% Power Finance Corporation Ltd. NCD Red 31-12-2029**</t>
  </si>
  <si>
    <t>7.38% NHPC Ltd. NCD Red 03-01-2030 **</t>
  </si>
  <si>
    <t>8.15% Power Grid Corporation of India Ltd. NCD Red 09-03-2030**</t>
  </si>
  <si>
    <t>8.13% Nuclear Power Corporation NCD Red 28-03-2030**</t>
  </si>
  <si>
    <t>9.3% Power Grid Corporation of India Ltd NCD Red 04-09-2029**</t>
  </si>
  <si>
    <t>7.95% Indian Railway Finance Corporation Ltd NCD Red 12-06-2029**</t>
  </si>
  <si>
    <t>8.15% Export Import Bank of India NCB 21-01-2030 R21 - 2030**</t>
  </si>
  <si>
    <t>7.34% Power Grid Corporation of India Ltd. NCD Red 13-07-2029**</t>
  </si>
  <si>
    <t>7.36% Neyveli Lignite Corporation Ltd. NCD Red 25-01-2030 **</t>
  </si>
  <si>
    <t>8.25% Rural Electrification Corporation Ltd GOI Serviced NCD Red 26-03-30**</t>
  </si>
  <si>
    <t>8.80% Rural Electrification Corporation Ltd NCD Red 14-05-2029**</t>
  </si>
  <si>
    <t>7.10% National Bank for Agriculture &amp; Rural Dev GOI Serv NCD Red 08-02-2030</t>
  </si>
  <si>
    <t>6.45% Government of India Red 07-10-2029</t>
  </si>
  <si>
    <t>7.88% Government of India Red 19-03-2030</t>
  </si>
  <si>
    <t>6.79% Government of India Red 26-12-2029</t>
  </si>
  <si>
    <t>6.41% Indian Railway Finance Corporation Ltd NCD Red 11-04-2031**</t>
  </si>
  <si>
    <t>6.90% Rural Electrification Corporation Ltd NCD Red 31-03-2031**</t>
  </si>
  <si>
    <t>6.45% National Bank for Agriculture and Rural Development NCD Red 11-04-2031**</t>
  </si>
  <si>
    <t>6.88% Power Finance Corporation Ltd NCD Red 11-04-2031**</t>
  </si>
  <si>
    <t>6.80% Nuclear Power Corporation NCD Red 21-03-2031**</t>
  </si>
  <si>
    <t>6.50% National Highways Authority of India NCD RED 11-04-2031**</t>
  </si>
  <si>
    <t>6.4% Oil &amp; Natural Gas Corporation Ltd NCD Red 11-04-2031**</t>
  </si>
  <si>
    <t>6.29% National Thermal Power Corporation Ltd NCD Red 11-04-2031**</t>
  </si>
  <si>
    <t>6.63% Hindustan Petroleum Corporation Ltd. NCD Red 11-04-2031**</t>
  </si>
  <si>
    <t>6.65% Food Corporation of India NCD Red 23-10-2030**</t>
  </si>
  <si>
    <t>6.28% Power Grid Corporation of India Ltd. NCD 11-04-31**</t>
  </si>
  <si>
    <t>7.05% Power Finance Corporation Ltd NCD Red 09-08-2030**</t>
  </si>
  <si>
    <t>7.04% Power Finance Corporation Ltd NCD Red 16-12-2030**</t>
  </si>
  <si>
    <t>6.90% Rural Electrification Corporation Ltd NCD Red 31-01-2031**</t>
  </si>
  <si>
    <t>7.79% Rural Electrification Corporation Ltd NCD Red 21-05-2030**</t>
  </si>
  <si>
    <t>7.75% Power Finance Corporation Ltd NCD Red 11-06-2030**</t>
  </si>
  <si>
    <t>7.55% Rural Electrification Corporation Ltd. NCD Red 10-05-2030**</t>
  </si>
  <si>
    <t>8.32% Power Grid Corporation of India Ltd NCD Red 23-12-2030**</t>
  </si>
  <si>
    <t>8.13% Nuclear Power Corporation NCD Red 28-03-2031**</t>
  </si>
  <si>
    <t>6.43% National Thermal Power Corporation Ltd. NCD Red 27-01-2031**</t>
  </si>
  <si>
    <t>6.80% Rural Electrification Corporation Ltd NCD Red 20-12-2030**</t>
  </si>
  <si>
    <t>7.25% Nuclear Power Corporation NCD Red 15-12-2030 XXXIII D**</t>
  </si>
  <si>
    <t>7.40% Power Finance Corporation Ltd NCD Red 08-05-2030**</t>
  </si>
  <si>
    <t>7.00% Power Finance Corporation Ltd NCD Red 22-01-2031**</t>
  </si>
  <si>
    <t>8.4% Power Grid Corporation of India Ltd NCD Red 27-05-2030**</t>
  </si>
  <si>
    <t>7.61% Government of India Red 09-05-2030</t>
  </si>
  <si>
    <t>7.48% Mangalore Refinery &amp; Petrochemicals Ltd. NCD Red 14-04-2032</t>
  </si>
  <si>
    <t>6.74% National Thermal Power Corporation Ltd. NCD Red 14-04-2032**</t>
  </si>
  <si>
    <t>6.87% National Highways Authority of India NCD Red 14-04-2032**</t>
  </si>
  <si>
    <t>6.92% Power Finance Corporation Ltd. NCD Red 14-04-32**</t>
  </si>
  <si>
    <t>6.92% Rural Electrification Corporation Ltd. NCD Red 20-03-2032**</t>
  </si>
  <si>
    <t>6.87% Indian Railway Finance Corporation Ltd NCD Red 14-04-2032**</t>
  </si>
  <si>
    <t>6.85% National Bank for Agriculture and Rural Development NCD Red 14-04-2032**</t>
  </si>
  <si>
    <t>6.85% NLC India RED 13-04-2032**</t>
  </si>
  <si>
    <t>7.38% National Bank for Agriculture and Rural Development NCD Red 20-10-2031**</t>
  </si>
  <si>
    <t>6.69% National Thermal Power Corporation Ltd. NCD Red 12-09-2031</t>
  </si>
  <si>
    <t>6.10% Government of India Red 12-07-2031</t>
  </si>
  <si>
    <t>6.54% Government of India Red 17-01-2032</t>
  </si>
  <si>
    <t>8.37% Housing &amp; Urban Development Corporation Ltd NCD Red 23-03-2029</t>
  </si>
  <si>
    <t xml:space="preserve">8.24% National Bank for Agriculture and Rural Development NCD Red 22-03-2029 </t>
  </si>
  <si>
    <t>8.3% National Thermal Power Corporation Ltd. NCD Red 15-01-2029**</t>
  </si>
  <si>
    <t>8.83% Export Import Bank of India NCD Red 03-11-2029 **</t>
  </si>
  <si>
    <t>8.60% Axis Bank Ltd. NCD Red 28-12-2028 **</t>
  </si>
  <si>
    <t>8.55% Housing Development Finance Corporation Ltd. NCD Red 27-03-2029 **</t>
  </si>
  <si>
    <t>8.12% NHPC Ltd. NCD Red 22-03-2029**</t>
  </si>
  <si>
    <t>8.27% National Highways Authority of India NCD Red 28-03-2029**</t>
  </si>
  <si>
    <t>8.13% Nuclear Power Corporation NCD Red 28-03-2029**</t>
  </si>
  <si>
    <t>8.95% Food Corporation of India NCD Red 01-03-2029 **</t>
  </si>
  <si>
    <t>8.40% Nuclear Power Corporation NCD Red 28-11-2029 **</t>
  </si>
  <si>
    <t>8.79% Indian Railway Finance Corporation Ltd. NCD Red 04-05-2030**</t>
  </si>
  <si>
    <t>8.70% LIC Housing Finance Ltd. NCD Red 23-03-2029 **</t>
  </si>
  <si>
    <t>8.11% Rural Electrification Corporation Ltd. NCD Red 07-10-2025 SR136**</t>
  </si>
  <si>
    <t>5.7% National Bank for Agriculture and Rural Development NCD Red SR 22D 31-07-2025**</t>
  </si>
  <si>
    <t>7.50% NHPC Ltd SR Y STR A NCD 07-10-2025**</t>
  </si>
  <si>
    <t>6.50% Power Finance Corporation Ltd. NCD Red 17-09-2025</t>
  </si>
  <si>
    <t>7.30% NMDC Ltd SR I NCD RED 28-08-2025**</t>
  </si>
  <si>
    <t>7.17% Power Finance Corporation Ltd. NCD Red SR 202B 22-05-25**</t>
  </si>
  <si>
    <t>8.40% Power Grid Corporation of India Ltd. NCD Red 27-05-2025**</t>
  </si>
  <si>
    <t>5.70% National Bank for Agriculture and Rural Development NCD Red SR 22D 31-07-2025**</t>
  </si>
  <si>
    <t>5.22% Government of India Red 15-06-2025</t>
  </si>
  <si>
    <t>8.30% Jharkhand SDL Red 29-07-2025</t>
  </si>
  <si>
    <t>7.99% Maharashtra SDL Red 28-10-2025</t>
  </si>
  <si>
    <t>7.97% Tamil Nadu SDL Red 14-10-2025</t>
  </si>
  <si>
    <t>8.22% Tamil Nadu SDL Red 13-05-2025</t>
  </si>
  <si>
    <t>8.36% Madhya Pradesh SDL Red 15-07-2025</t>
  </si>
  <si>
    <t>8.31% Andhra Pradesh SDL Red 29-07-2025</t>
  </si>
  <si>
    <t>8.16% Maharashtra SDL Red 23-09-2025</t>
  </si>
  <si>
    <t>8.29% Kerala SDL Red 29-07-2025</t>
  </si>
  <si>
    <t>8.28% Maharashtra SDL Red 29-07-2025</t>
  </si>
  <si>
    <t>8% Tamil Nadu SDL Red 28-10-2025</t>
  </si>
  <si>
    <t>Bharat Bond ETF-April 2023-Growth</t>
  </si>
  <si>
    <t>Bharat Bond ETF-April 2025-Growth</t>
  </si>
  <si>
    <t>Bharat Bond ETF-April 2030-Growth</t>
  </si>
  <si>
    <t>Bharat Bond ETF-April 2031-Growth</t>
  </si>
  <si>
    <t>Bharat Bond ETF-April 2032-Growth</t>
  </si>
  <si>
    <t>6.67% Government of India Red 15-12-2035</t>
  </si>
  <si>
    <t>6.95% Government of India Red 16-12-2061</t>
  </si>
  <si>
    <t>8.38% Gujarat SDL RED 27-02-2029</t>
  </si>
  <si>
    <t>7.80% Kerala SDL RED 15-03-2027</t>
  </si>
  <si>
    <t>91 Days Tbill Red 30-06-2022</t>
  </si>
  <si>
    <t>6.14% Indian Oil Corporation Ltd NCD 18-02-27**</t>
  </si>
  <si>
    <t>7.83% Indian Railway Finance Corporation Ltd NCD Red 19-03-2027**</t>
  </si>
  <si>
    <t>7.89% Power Grid Corporation of India Ltd NCD Red 09-03-2027**</t>
  </si>
  <si>
    <t>7.95% Rural Electrification Corporation Ltd SR 147 NCD Red 12-03-2027**</t>
  </si>
  <si>
    <t>7.25% Export Import Bank of India NCD Red 01-02-2027**</t>
  </si>
  <si>
    <t>7.52% Rural Electrification Corporation Ltd NCD Red 07-11-26**</t>
  </si>
  <si>
    <t>7.18% Power Finance Corporation Ltd NCD Red 20-01-2027**</t>
  </si>
  <si>
    <t>7.54% Rural Electrification Corporation Ltd NCD Red 30-12-2026**</t>
  </si>
  <si>
    <t>9.25% Power Grid Corporation of India Ltd NCD  Red 09-03-27**</t>
  </si>
  <si>
    <t>7.20% Uttar Pradesh SDL 25-01-2027</t>
  </si>
  <si>
    <t>7.80% Kerala SDL Red 15-03-2027</t>
  </si>
  <si>
    <t>6.58% Gujarat SDL Red 31-03-2027</t>
  </si>
  <si>
    <t>7.75% Karnataka SDL Red 01-03-2027</t>
  </si>
  <si>
    <t>7.78% Bihar SDL Red 01-03-2027</t>
  </si>
  <si>
    <t>7.59% Gujarat SDL Red 15-02-2027</t>
  </si>
  <si>
    <t>8.31% Rajasthan SDL Red 08-04-2027</t>
  </si>
  <si>
    <t>7.92% West Bengal SDL 15-03-2027</t>
  </si>
  <si>
    <t>7.61% Tamil Nadu SDL Red 15-02-2027</t>
  </si>
  <si>
    <t>7.59% Rajasthan SDL Red 15-02-2027</t>
  </si>
  <si>
    <t>7.74% Tamil Nadu SDL Red 01-03-2027</t>
  </si>
  <si>
    <t>7.78% West Bengal SDL 01-03-2027</t>
  </si>
  <si>
    <t>7.61% Andhra Pradesh SDL Red 15-02-2027</t>
  </si>
  <si>
    <t>7.59% Haryana SDL Red 15-02-2027</t>
  </si>
  <si>
    <t>7.59% Bihar SDL Red 15-02-2027</t>
  </si>
  <si>
    <t>6.72% Kerala SDL Red 24-03-2027</t>
  </si>
  <si>
    <t>7.64% Haryana SDL Red 29-03-2027</t>
  </si>
  <si>
    <t>7.86% Karnataka SDL Red 15-03-2027</t>
  </si>
  <si>
    <t>7.85% Tamil Nadu SDL Red 15-03-2027</t>
  </si>
  <si>
    <t>7.59% Karnataka SDL Red 29-03-2027</t>
  </si>
  <si>
    <t>7.21% West Bengal SDL 25-01-2027</t>
  </si>
  <si>
    <t>7.59% Karnataka SDL 15-02-2027</t>
  </si>
  <si>
    <t>7.15% Rajasthan SDL 11-01-2027</t>
  </si>
  <si>
    <t>7.64% West Bengal SDL Red 29-03-2027</t>
  </si>
  <si>
    <t>7.20% Karnataka SDL Red 25-01-2027</t>
  </si>
  <si>
    <t>7.15% Karnataka SDL Red 11-01-2027</t>
  </si>
  <si>
    <t>5.94% Rural Electrification Corporation Ltd LTD. NCD RED 31-01-2026**</t>
  </si>
  <si>
    <t>9.18% Nuclear Power Corporation NCD Red 23-01-2026**</t>
  </si>
  <si>
    <t>5.85% Rural Electrification Corporation Ltd Ltd NCD Red 20-12-2025</t>
  </si>
  <si>
    <t>5.81% Rural Electrification Corporation Ltd Ltd. NCD Red 31-12-2025**</t>
  </si>
  <si>
    <t>6.18% Mangalore Refinery &amp; Petrochemicals Ltd NCD 29-12-2025**</t>
  </si>
  <si>
    <t>7.13% NHPC Ltd.Aa Strpp A NCD 11-02-2026</t>
  </si>
  <si>
    <t>8.18% Export Import Bank of India NCD Red 07-12-2025**</t>
  </si>
  <si>
    <t>9.09% Indian Railway Finance Corporation Ltd NCD Red 29-03-2026**</t>
  </si>
  <si>
    <t>8.02% Export Import Bank of India NCD Red 20-04-2026**</t>
  </si>
  <si>
    <t>8.32% Power Grid Corporation of India Ltd Red 23-12-2025**</t>
  </si>
  <si>
    <t>6.89% NHPC Sr Aa1 Strpp A NCD 11-03-2026**</t>
  </si>
  <si>
    <t>7.38% NHPC Sr Y1 Strpp A NCD 03-01-2026**</t>
  </si>
  <si>
    <t>9.09% Indian Railway Finance Corporation Ltd NCD Red 31-03-2026**</t>
  </si>
  <si>
    <t>8.14% Nuclear Power Corporation NCD Red 25-03-2026**</t>
  </si>
  <si>
    <t>8.19% NTPC Ltd NCD Red 15-12-2025**</t>
  </si>
  <si>
    <t>6.05% NLC India Ltd NCD Red 12-02-2026**</t>
  </si>
  <si>
    <t>8.85% NHPC Ltd NCD 11-02-2026**</t>
  </si>
  <si>
    <t>8.78% NHPC Ltd NCD Red 11-02-2026**</t>
  </si>
  <si>
    <t>5.60% Indian Oil Corporation NCD 23-01-2026**</t>
  </si>
  <si>
    <t>9.25% Power Grid Corporation of India Ltd NCD Red 26-12-2025**</t>
  </si>
  <si>
    <t>5.63% Government of India Red 12-04-2026</t>
  </si>
  <si>
    <t>6.18% Gujarat SDL Red 31-03-2026</t>
  </si>
  <si>
    <t>8.3% Rajasthan SDL Red 13-01-2026</t>
  </si>
  <si>
    <t>8.38% Tamilnadu SDL Red 27-01-2026</t>
  </si>
  <si>
    <t>8.76% Madhya Pradesh SDL Red 24-02-2026</t>
  </si>
  <si>
    <t>8.57% Andhra Pradesh SDL Red 09-03-2026</t>
  </si>
  <si>
    <t>8.28% Karnataka SDL Red 06-03-2026</t>
  </si>
  <si>
    <t>8.54% Bihar SDL Red 10-02-2026</t>
  </si>
  <si>
    <t>8.48% Rajasthan SDL Red 10-02-2026</t>
  </si>
  <si>
    <t>8.38% Karnataka SDL Red 27-01-2026</t>
  </si>
  <si>
    <t>8.39% Madhya Pradesh SDL Red 27-01-2026</t>
  </si>
  <si>
    <t>8.88% West Bengal SDL Red 24-02-2026</t>
  </si>
  <si>
    <t>8.60% Bihar SDL Red 09-03-2026</t>
  </si>
  <si>
    <t>8.40% West Bengal SDL Red 27-01-2026</t>
  </si>
  <si>
    <t>8.29% Andhra Pradesh SDL Red 13-01-2026</t>
  </si>
  <si>
    <t>8.30% Madhya Pradesh SDL Red 13-01-2026</t>
  </si>
  <si>
    <t>8.00% Gujarat SDL Red 20-04-2026</t>
  </si>
  <si>
    <t>8.57% West Bengal SDL Red 09-03-2026</t>
  </si>
  <si>
    <t>8.34% Uttar Pradesh SDL 13-01-2026</t>
  </si>
  <si>
    <t>8.53% Uttar Pradesh SDL 10-02-2026</t>
  </si>
  <si>
    <t>8.39% Uttar Pradesh SDL 27-01-2026</t>
  </si>
  <si>
    <t>8.53% Tamil Nadu SDL Red 09-03-2026</t>
  </si>
  <si>
    <t>8.51% West Bengal SDL Red 10-02-2026</t>
  </si>
  <si>
    <t>8.83% Uttar Pradesh SDL 24-02-2026</t>
  </si>
  <si>
    <t>8.72% Andhra Pradesh SDL Red 24-02-2026</t>
  </si>
  <si>
    <t>8.51% Maharashtra SDL Red 09-03-2026</t>
  </si>
  <si>
    <t>8.49% Tamil Nadu SDL Red 10-02-2026</t>
  </si>
  <si>
    <t>8.36% Maharashtra SDL Red 27-01-2026</t>
  </si>
  <si>
    <t>8.67% Karnataka SDL Red 24-02-2026</t>
  </si>
  <si>
    <t>8.55% Rajasthan SDL Red 09-03-2026</t>
  </si>
  <si>
    <t>8.31% West Bengal SDL Red 13-01-2026</t>
  </si>
  <si>
    <t>8.82% Bihar SDL Red 24-02-2026</t>
  </si>
  <si>
    <t>8.69% Tamil Nadu SDL Red 24-02-2026</t>
  </si>
  <si>
    <t>8.38% Rajasthan SDL Red 27-01-2026</t>
  </si>
  <si>
    <t>7.90% Rajasthan SDL Red 08-04-2026</t>
  </si>
  <si>
    <t>8.67% Maharashtra SDL Red 24-02-2026</t>
  </si>
  <si>
    <t>8.47% Maharashtra SDL Red 10-02-2026</t>
  </si>
  <si>
    <t>8.27% Tamil Nadu SDL Red 13-01-2026</t>
  </si>
  <si>
    <t>8.25% Maharashtra SDL Red 13-01-2026</t>
  </si>
  <si>
    <t>8.27% Karnataka SDL Red 13-01-2026</t>
  </si>
  <si>
    <t>8.46% Gujarat SDL Red 10-02-2026</t>
  </si>
  <si>
    <t>8.39% Andhra Pradesh SDL Red 27-01-2026</t>
  </si>
  <si>
    <t>8.09% Rajasthan SDL Red 23-03-2026</t>
  </si>
  <si>
    <t>8.09% Andhra Pradesh SDL Red 23-03-2026</t>
  </si>
  <si>
    <t>7.96% Gujarat SDL Red 27-04-2026</t>
  </si>
  <si>
    <t>7.96% Tamil Nadu SDL Red 27-04-2026</t>
  </si>
  <si>
    <t>6.70% Andhra Pradesh SDL Red 22-04-2026</t>
  </si>
  <si>
    <t>7.00% HDFC LTD NCD Red 19-05-2022**</t>
  </si>
  <si>
    <t>8.15% Government of India red 11-06-2022</t>
  </si>
  <si>
    <t>8.35% Government of India red 14-05-2022</t>
  </si>
  <si>
    <t>8.08% Government of India red 02-08-2022</t>
  </si>
  <si>
    <t>6.84% Government of India Red 19-12-2022</t>
  </si>
  <si>
    <t>8.15% Government of India Red 11-06-2022</t>
  </si>
  <si>
    <t>8.35% Government of India Red 14-05-2022</t>
  </si>
  <si>
    <t>5.09% Government of India Red  13-04-2022</t>
  </si>
  <si>
    <t>8.08% Government of India Red 02-08-2022</t>
  </si>
  <si>
    <t>3.96% Government of India Red 09-11-2022</t>
  </si>
  <si>
    <t>182 Days Tbill Red 14-07-2022</t>
  </si>
  <si>
    <t>182 Days Tbill Red 21-07-2022</t>
  </si>
  <si>
    <t>364 Days Tbill Red 05-05-2022</t>
  </si>
  <si>
    <t>182 Days Tbill Red 12-05-2022</t>
  </si>
  <si>
    <t>182 Days Tbill Red 04-08-2022</t>
  </si>
  <si>
    <t>364 Days Tbill Red 19-01-2023</t>
  </si>
  <si>
    <t>364 Days Tbill Red 20-10-2022</t>
  </si>
  <si>
    <t>364 Days Tbill Red 14-04-2022</t>
  </si>
  <si>
    <t>364 Days Tbill Red 05-01-2023</t>
  </si>
  <si>
    <t>Aditya Birla Finance Ltd CP Red 18-11-2022**</t>
  </si>
  <si>
    <t>5.14% National Bank for Agriculture and Rural Development NCD Red NCD RED 31-01-2024**</t>
  </si>
  <si>
    <t>5.32% National Housing Bank Red 01-09-23**</t>
  </si>
  <si>
    <t>8.20% India Grid Trust SR V CAT III&amp;IV 06-05-31**</t>
  </si>
  <si>
    <t>7.40% India Grid Trust SR K 26-12-25 C 270925**</t>
  </si>
  <si>
    <t>5.5% Britannia Industries Ltd.NCD Red 03-06-2024**</t>
  </si>
  <si>
    <t>7.37% Government of India Red 16-04-2023</t>
  </si>
  <si>
    <t>7.18% Tamil Nadu SDL Red 26-07-2027</t>
  </si>
  <si>
    <t>364 Days Tbill Red 12-01-2023</t>
  </si>
  <si>
    <t>Axis Bank Ltd CD Red 11-11-2022#**</t>
  </si>
  <si>
    <t>HDFC Ltd CP Red 22-08-2022**</t>
  </si>
  <si>
    <t>364 Days Tbill Red 09-06-2022</t>
  </si>
  <si>
    <t>364 Days Tbill Red 21-04-2022</t>
  </si>
  <si>
    <t>Edelweiss Liquid Fund - Direct Pl -Gr</t>
  </si>
  <si>
    <t>5.50% Britannia Industries Ltd.NCD Red 03-06-2024**</t>
  </si>
  <si>
    <t>91 Days Tbill Red 21-04-2022</t>
  </si>
  <si>
    <t>Shriram City Union Finance Ltd. ZCB Red 04-04-2022 **</t>
  </si>
  <si>
    <t>Aditya Birla Housing Finance Ltd. ZCB Red 13-04-2022 **</t>
  </si>
  <si>
    <t>2% Tata Steel Ltd. NCD Red 23-04-2022 **</t>
  </si>
  <si>
    <t>7.85% The Indian Hotels Company Ltd. NCD Red 15-04-2022 **</t>
  </si>
  <si>
    <t>9.00% Muthoot Finance Ltd. NCD Red 24-04-2022 **</t>
  </si>
  <si>
    <t>7.85% Bhopal Dhule Transmission Company Ltd. NCD Red 04-04-2022 **</t>
  </si>
  <si>
    <t>9.55% Hindalco Industries Ltd. NCD Red 25-04-2022 **</t>
  </si>
  <si>
    <t>7.95% Small Industries Development Bank of India NCD Red 26-04-2022 **</t>
  </si>
  <si>
    <t>8.40% Housing &amp; Urban Development Corporation Ltd. NCD Red 11-04-2022 **</t>
  </si>
  <si>
    <t>9.65% SBI Cards &amp; Payment Services Ltd. NCD Red 25-04-2022#**</t>
  </si>
  <si>
    <t>91 Days Tbill Red 09-06-2022</t>
  </si>
  <si>
    <t>91 Days Tbill Red 23-06-2022</t>
  </si>
  <si>
    <t>Axis Bank Ltd CD Red 02-05-2022#**</t>
  </si>
  <si>
    <t>Bank Of Baroda CD Red 11-04-2022#**</t>
  </si>
  <si>
    <t>Axis Bank Ltd CD Red 28-04-2022#**</t>
  </si>
  <si>
    <t>IDFC First Bank Ltd. CD Red 10-06-2022#**</t>
  </si>
  <si>
    <t>HDFC Bank CD Red 28-04-2022#**</t>
  </si>
  <si>
    <t>Indian Oil Corporation Ltd CP 04-04-2022**</t>
  </si>
  <si>
    <t>Bajaj Finance Ltd CP 04-04-2022**</t>
  </si>
  <si>
    <t>Godrej Industries Ltd CP 13-04-2022**</t>
  </si>
  <si>
    <t>Reliance Jio Info Ltd CP Red 11-04-2022**</t>
  </si>
  <si>
    <t>Hindustan Petroleum Corporation Ltd CP 12-04-22**</t>
  </si>
  <si>
    <t>National Bank for Agriculture and Rural Development CP Red 13-04-2022**</t>
  </si>
  <si>
    <t>ICICI Securities CP Red 13-04-2022**</t>
  </si>
  <si>
    <t>Bharti Airtel Ltd. CP Red 29-04-2022**</t>
  </si>
  <si>
    <t>Hero Fincorp Ltd CP Red 28-04-2022**</t>
  </si>
  <si>
    <t>Export Import Bank of India CP Red 07-04-2022**</t>
  </si>
  <si>
    <t>Godrej Agrovet CP Red 13-04-2022**</t>
  </si>
  <si>
    <t>Reliance Jio Info Ltd 18-04-2022**</t>
  </si>
  <si>
    <t>Indian Oil Corporation Ltd CP 22-04-22**</t>
  </si>
  <si>
    <t>National Bank for Agriculture and Rural Development CP Red 25-05-2022**</t>
  </si>
  <si>
    <t>HDFC Ltd CP RED 23-06-2022**</t>
  </si>
  <si>
    <t>Aditya Birla Money CP Ltd 20-06-2022**</t>
  </si>
  <si>
    <t>JPM Asean Equity-I Acc USD</t>
  </si>
  <si>
    <t>JPM Greater China-I-I2 USD</t>
  </si>
  <si>
    <t>JPMorgan F-Europe Dynam-I-A</t>
  </si>
  <si>
    <t>JPMORGAN Asset Mgt - Emg Mkt Opps I USD</t>
  </si>
  <si>
    <t>JPMORGAN F-JPM US Value-I Ac</t>
  </si>
  <si>
    <t>JPMORGAN Funds - US Tech Fund I2 A USD</t>
  </si>
  <si>
    <t xml:space="preserve">3. Total Dividend (Net) declared during the half year period </t>
  </si>
  <si>
    <t>3. Total Dividend (Net) declared during the half year period</t>
  </si>
  <si>
    <t>4. Bonus was declared during the half year period</t>
  </si>
  <si>
    <t>5. Investment in Repo of Corporate Debt Securities as at March 31, 2022</t>
  </si>
  <si>
    <t>6. Investment in foreign securities/ADRs/GDRs as at March 31, 2022</t>
  </si>
  <si>
    <t>8. Total gross exposure to derivative instruments (excluding reversed positions) as at March 31, 2022 (Rs. in Lakhs)</t>
  </si>
  <si>
    <t>7. Total gross exposure to derivative instruments (excluding reversed positions) as at March 31, 2022 (Rs. in Lakhs)</t>
  </si>
  <si>
    <t>NA</t>
  </si>
  <si>
    <t>Since the Scheme was launched during the current half year, there are no comparative NAVs for beginning of the period.</t>
  </si>
  <si>
    <t>PORTFOLIO STATEMENT OF EDELWEISS NIFTY 100 QUALITY 30 INDEX FUND AS ON MARCH 31, 2022</t>
  </si>
  <si>
    <t>(An open-ended target Maturity index fund predominantly investing in the constituents of Nifty PSU Bond Plus SDL April 2027 50:50 Index)</t>
  </si>
  <si>
    <t>(An open-ended target Maturity index fund predominantly investing in the constituents of Nifty PSU Bond Plus SDL April 2026 50:50 Index)</t>
  </si>
  <si>
    <t>Individual &amp; HUF</t>
  </si>
  <si>
    <t>Others</t>
  </si>
  <si>
    <t>Brookfield India Real Estate Trust</t>
  </si>
  <si>
    <t>Mindspace Business Parks REIT</t>
  </si>
  <si>
    <t>$0.00%</t>
  </si>
  <si>
    <t xml:space="preserve">$ Less than 0.01% of Net Asset Value </t>
  </si>
  <si>
    <t>Transportation</t>
  </si>
  <si>
    <t>Auto Ancillaries</t>
  </si>
  <si>
    <t>Minerals/Mining</t>
  </si>
  <si>
    <t>Software</t>
  </si>
  <si>
    <t>Consumer Non Durables</t>
  </si>
  <si>
    <t>Construction Project</t>
  </si>
  <si>
    <t>Chemicals</t>
  </si>
  <si>
    <t>Pesticides</t>
  </si>
  <si>
    <t>Auto</t>
  </si>
  <si>
    <t>Industrial Capital Goods</t>
  </si>
  <si>
    <t>Fertilisers</t>
  </si>
  <si>
    <t>Textile Products</t>
  </si>
  <si>
    <t>Commercial Services</t>
  </si>
  <si>
    <t>Textiles - Synthetic</t>
  </si>
  <si>
    <t>9 Number of instance of deviation In valuation of securities</t>
  </si>
  <si>
    <t>10 Total value and percentage of illiquid equity shares / securities</t>
  </si>
  <si>
    <t>PORTFOLIO STATEMENT OF EDELWEISS LONG TERM EQUITY FUND (TAX SAVINGS) AS ON MARCH 31, 2022</t>
  </si>
  <si>
    <t>PORTFOLIO STATEMENT OF BHARAT BOND ETF FOF – APRIL 2032 AS ON MARCH 31, 2022</t>
  </si>
  <si>
    <t>Scheme Name</t>
  </si>
  <si>
    <t>Risk- O - Meter</t>
  </si>
  <si>
    <t>Benchmark of the Scheme</t>
  </si>
  <si>
    <t>Benchmark Risk-o-meter</t>
  </si>
  <si>
    <t>Nifty Money Market Index</t>
  </si>
  <si>
    <t>NIFTY BHARAT Bond Index - April 2023</t>
  </si>
  <si>
    <t>NIFTY BHARAT Bond Index - April 2025</t>
  </si>
  <si>
    <t>NIFTY BHARAT Bond Index - April 2030</t>
  </si>
  <si>
    <t>NIFTY BHARAT Bond Index - April 2031</t>
  </si>
  <si>
    <t>Nifty BHARAT Bond Index – April 2032</t>
  </si>
  <si>
    <t>NIFTY Banking and PSU Debt Index</t>
  </si>
  <si>
    <t xml:space="preserve"> EDELWEISS CRISIL PSU PLUS SDL 50:50 OCT 2025 INDEX FUND</t>
  </si>
  <si>
    <t>CRISIL [IBX] 50:50 PSU + SDL Index – October 2025</t>
  </si>
  <si>
    <t>CRISIL Dynamic Gilt Index</t>
  </si>
  <si>
    <t>Nifty PSU Bond Plus SDL Apr 2027 50:50 Index</t>
  </si>
  <si>
    <t>Nifty PSU Bond Plus SDL Apr 2026 50:50 Index</t>
  </si>
  <si>
    <t>CRISIL Overnight Index</t>
  </si>
  <si>
    <t>Nifty 50 Arbitrage Index</t>
  </si>
  <si>
    <t>CRISIL Hybrid 50+50 Moderate Index</t>
  </si>
  <si>
    <t>Nifty 50 Total Return Index</t>
  </si>
  <si>
    <t>Nifty 500 Total Return Index</t>
  </si>
  <si>
    <t>Nifty Large Midcap 250 Index - Total Return Index</t>
  </si>
  <si>
    <t>Nifty Smallcap 250 TR Index</t>
  </si>
  <si>
    <t>NIFTY Equity Savings Index</t>
  </si>
  <si>
    <t>Nifty 100 Quality 30</t>
  </si>
  <si>
    <t>Nifty 50</t>
  </si>
  <si>
    <t>NIFTY LargeMidcap 250 Total Return Index</t>
  </si>
  <si>
    <t>India Recent 100 IPO</t>
  </si>
  <si>
    <t>Nifty Bank</t>
  </si>
  <si>
    <t>CRISIL Hybrid 35+65 - Aggressive Index</t>
  </si>
  <si>
    <t>Nifty Midcap 100 Total Return Index</t>
  </si>
  <si>
    <t>CRISIL Composite Bond Fund Index</t>
  </si>
  <si>
    <t>Nifty Liquid Fund Index</t>
  </si>
  <si>
    <t>MSCI AC ASEAN Index</t>
  </si>
  <si>
    <t>MSCI Golden Dragon Index (Total Return Net)</t>
  </si>
  <si>
    <t>MSCI India Domestic &amp; World Healthcare 45 Index           </t>
  </si>
  <si>
    <t>MSCI Europe Index (Total Return Net)</t>
  </si>
  <si>
    <t>MSCI Emerging Market Index</t>
  </si>
  <si>
    <t>Russell 1000 Equal Weighted Technology Index</t>
  </si>
  <si>
    <t>Scheme Risk- O - Meter</t>
  </si>
  <si>
    <t>CRISIL [IBX] 50:50 PSU + SDL Index - October 2025</t>
  </si>
  <si>
    <t xml:space="preserve">Edelweiss House, 7th Floor, Off. C.S.T. Road, Kalina, Santacruz (E), Mumbai 400098, Maharashtra  </t>
  </si>
  <si>
    <t>I.</t>
  </si>
  <si>
    <t>Disclosure pursuant to SEBI circular CIR/IMD/DF/11/2010 dated Aug 18, 2010 are as follows:</t>
  </si>
  <si>
    <t>a.</t>
  </si>
  <si>
    <t>Hedging positions through futures as on 31st March 2022:</t>
  </si>
  <si>
    <t>Scheme name</t>
  </si>
  <si>
    <t>Underlying</t>
  </si>
  <si>
    <t>Long / Short</t>
  </si>
  <si>
    <t>Futures price when purchased</t>
  </si>
  <si>
    <t>Current price of the contract</t>
  </si>
  <si>
    <t>Margin maintained in Rs. Lakhs</t>
  </si>
  <si>
    <t>Edelweiss Aggressive Hybrid Fund</t>
  </si>
  <si>
    <t>Escorts Ltd. 28/04/2022</t>
  </si>
  <si>
    <t>Short</t>
  </si>
  <si>
    <t>Edelweiss Arbitrage Fund</t>
  </si>
  <si>
    <t>Aarti Industries Ltd. 28/04/2022</t>
  </si>
  <si>
    <t>ABB India Ltd. 28/04/2022</t>
  </si>
  <si>
    <t>Abbott India Ltd. 28/04/2022</t>
  </si>
  <si>
    <t>ACC Ltd. 28/04/2022</t>
  </si>
  <si>
    <t>Adani Enterprises Ltd. 28/04/2022</t>
  </si>
  <si>
    <t>Adani Ports &amp; Special Economic Zone Ltd. 28/04/2022</t>
  </si>
  <si>
    <t>Aditya Birla Capital Ltd. 28/04/2022</t>
  </si>
  <si>
    <t>Alembic Pharmaceuticals Ltd. 28/04/2022</t>
  </si>
  <si>
    <t>Amara Raja Batteries Ltd. 28/04/2022</t>
  </si>
  <si>
    <t>Ambuja Cements Ltd. 28/04/2022</t>
  </si>
  <si>
    <t>Apollo Hospitals Enterprise Ltd. 28/04/2022</t>
  </si>
  <si>
    <t>Apollo Tyres Ltd. 28/04/2022</t>
  </si>
  <si>
    <t>Ashok Leyland Ltd. 28/04/2022</t>
  </si>
  <si>
    <t>Asian Paints Ltd. 28/04/2022</t>
  </si>
  <si>
    <t>Astral Ltd. 28/04/2022</t>
  </si>
  <si>
    <t>AU Small Finance Bank Ltd. 28/04/2022</t>
  </si>
  <si>
    <t>Aurobindo Pharma Ltd. 28/04/2022</t>
  </si>
  <si>
    <t>Axis Bank Ltd. 28/04/2022</t>
  </si>
  <si>
    <t>Bajaj Finance Ltd. 28/04/2022</t>
  </si>
  <si>
    <t>Bajaj Finserv Ltd. 28/04/2022</t>
  </si>
  <si>
    <t>Balkrishna Industries Ltd. 28/04/2022</t>
  </si>
  <si>
    <t>Balrampur Chini Mills Ltd. 28/04/2022</t>
  </si>
  <si>
    <t>Bandhan Bank Ltd. 28/04/2022</t>
  </si>
  <si>
    <t>Bank of Baroda 28/04/2022</t>
  </si>
  <si>
    <t>Bata India Ltd. 28/04/2022</t>
  </si>
  <si>
    <t>Berger Paints (I) Ltd. 28/04/2022</t>
  </si>
  <si>
    <t>Bharat Electronics Ltd. 28/04/2022</t>
  </si>
  <si>
    <t>Bharat Forge Ltd. 28/04/2022</t>
  </si>
  <si>
    <t>Bharat Heavy Electricals Ltd. 28/04/2022</t>
  </si>
  <si>
    <t>Bharat Petroleum Corporation Ltd. 28/04/2022</t>
  </si>
  <si>
    <t>Bharti Airtel Ltd. 28/04/2022</t>
  </si>
  <si>
    <t>Biocon Ltd. 28/04/2022</t>
  </si>
  <si>
    <t>Birlasoft Ltd. 28/04/2022</t>
  </si>
  <si>
    <t>Bosch Ltd. 28/04/2022</t>
  </si>
  <si>
    <t>Can Fin Homes Ltd. 28/04/2022</t>
  </si>
  <si>
    <t>Canara Bank 28/04/2022</t>
  </si>
  <si>
    <t>Chambal Fertilizers &amp; Chemicals Ltd. 28/04/2022</t>
  </si>
  <si>
    <t>Cholamandalam Investment &amp; Fin Co Ltd. 28/04/2022</t>
  </si>
  <si>
    <t>Cipla Ltd. 28/04/2022</t>
  </si>
  <si>
    <t>City Union Bank Ltd. 28/04/2022</t>
  </si>
  <si>
    <t>Coal India Ltd. 28/04/2022</t>
  </si>
  <si>
    <t>Coforge Ltd. 28/04/2022</t>
  </si>
  <si>
    <t>Container Corporation Of India Ltd. 28/04/2022</t>
  </si>
  <si>
    <t>Coromandel International Ltd. 28/04/2022</t>
  </si>
  <si>
    <t>Crompton Greaves Cons Electrical Ltd. 28/04/2022</t>
  </si>
  <si>
    <t>Dabur India Ltd. 28/04/2022</t>
  </si>
  <si>
    <t>Dalmia Bharat Ltd. 28/04/2022</t>
  </si>
  <si>
    <t>Deepak Nitrite Ltd. 28/04/2022</t>
  </si>
  <si>
    <t>Delta Corp Ltd. 28/04/2022</t>
  </si>
  <si>
    <t>Divi's Laboratories Ltd. 28/04/2022</t>
  </si>
  <si>
    <t>DLF Ltd. 28/04/2022</t>
  </si>
  <si>
    <t>Dr. Reddy's Laboratories Ltd. 28/04/2022</t>
  </si>
  <si>
    <t>Eicher Motors Ltd. 28/04/2022</t>
  </si>
  <si>
    <t>Exide Industries Ltd. 28/04/2022</t>
  </si>
  <si>
    <t>Firstsource Solutions Ltd. 28/04/2022</t>
  </si>
  <si>
    <t>Glenmark Pharmaceuticals Ltd. 28/04/2022</t>
  </si>
  <si>
    <t>GMR Infrastructure Ltd. 28/04/2022</t>
  </si>
  <si>
    <t>Godrej Consumer Products Ltd. 28/04/2022</t>
  </si>
  <si>
    <t>Godrej Properties Ltd. 28/04/2022</t>
  </si>
  <si>
    <t>Granules India Ltd. 28/04/2022</t>
  </si>
  <si>
    <t>Grasim Industries Ltd. 28/04/2022</t>
  </si>
  <si>
    <t>Gujarat Gas Ltd. 28/04/2022</t>
  </si>
  <si>
    <t>Gujarat State Petronet Ltd. 28/04/2022</t>
  </si>
  <si>
    <t>Havells India Ltd. 28/04/2022</t>
  </si>
  <si>
    <t>HCL Technologies Ltd. 26/05/2022</t>
  </si>
  <si>
    <t>HCL Technologies Ltd. 28/04/2022</t>
  </si>
  <si>
    <t>HDFC Bank Ltd. 28/04/2022</t>
  </si>
  <si>
    <t>HDFC Life Insurance Company Ltd. 28/04/2022</t>
  </si>
  <si>
    <t>Hero MotoCorp Ltd. 28/04/2022</t>
  </si>
  <si>
    <t>Hindalco Industries Ltd. 28/04/2022</t>
  </si>
  <si>
    <t>Hindustan Aeronautics Ltd. 28/04/2022</t>
  </si>
  <si>
    <t>Hindustan Copper Ltd. 28/04/2022</t>
  </si>
  <si>
    <t>Hindustan Petroleum Corporation Ltd. 28/04/2022</t>
  </si>
  <si>
    <t>Hindustan Unilever Ltd. 28/04/2022</t>
  </si>
  <si>
    <t>Housing Development Finance Corp Ltd. 28/04/2022</t>
  </si>
  <si>
    <t>ICICI Bank Ltd. 28/04/2022</t>
  </si>
  <si>
    <t>ICICI Lombard General Insurance Co. Ltd. 28/04/2022</t>
  </si>
  <si>
    <t>ICICI Prudential Life Insurance Co Ltd. 28/04/2022</t>
  </si>
  <si>
    <t>IDFC First Bank Ltd. 28/04/2022</t>
  </si>
  <si>
    <t>IDFC Ltd. 28/04/2022</t>
  </si>
  <si>
    <t>Indiabulls Housing Finance Ltd. 28/04/2022</t>
  </si>
  <si>
    <t>Indian Energy Exchange Ltd. 28/04/2022</t>
  </si>
  <si>
    <t>Indian Oil Corporation Ltd. 28/04/2022</t>
  </si>
  <si>
    <t>Indraprastha Gas Ltd. 28/04/2022</t>
  </si>
  <si>
    <t>Indus Towers Ltd. 28/04/2022</t>
  </si>
  <si>
    <t>IndusInd Bank Ltd. 28/04/2022</t>
  </si>
  <si>
    <t>Info Edge (India) Ltd. 28/04/2022</t>
  </si>
  <si>
    <t>Infosys Ltd. 28/04/2022</t>
  </si>
  <si>
    <t>Intellect Design Arena Ltd. 28/04/2022</t>
  </si>
  <si>
    <t>InterGlobe Aviation Ltd. 28/04/2022</t>
  </si>
  <si>
    <t>IPCA Laboratories Ltd. 28/04/2022</t>
  </si>
  <si>
    <t>ITC Ltd. 28/04/2022</t>
  </si>
  <si>
    <t>Jindal Steel &amp; Power Ltd. 28/04/2022</t>
  </si>
  <si>
    <t>JK Cement Ltd. 28/04/2022</t>
  </si>
  <si>
    <t>JSW Steel Ltd. 28/04/2022</t>
  </si>
  <si>
    <t>Jubilant Foodworks Ltd. 28/04/2022</t>
  </si>
  <si>
    <t>Kotak Mahindra Bank Ltd. 28/04/2022</t>
  </si>
  <si>
    <t>L&amp;T Technology Services Ltd. 28/04/2022</t>
  </si>
  <si>
    <t>Larsen &amp; Toubro Infotech Ltd. 28/04/2022</t>
  </si>
  <si>
    <t>Larsen &amp; Toubro Ltd. 28/04/2022</t>
  </si>
  <si>
    <t>Laurus Labs Ltd. 28/04/2022</t>
  </si>
  <si>
    <t>LIC Housing Finance Ltd. 28/04/2022</t>
  </si>
  <si>
    <t>Lupin Ltd. 28/04/2022</t>
  </si>
  <si>
    <t>Mahanagar Gas Ltd. 28/04/2022</t>
  </si>
  <si>
    <t>Mahindra &amp; Mahindra Financial Serv Ltd. 28/04/2022</t>
  </si>
  <si>
    <t>Mahindra &amp; Mahindra Ltd. 28/04/2022</t>
  </si>
  <si>
    <t>Manappuram Finance Ltd. 28/04/2022</t>
  </si>
  <si>
    <t>Marico Ltd. 28/04/2022</t>
  </si>
  <si>
    <t>Maruti Suzuki India Ltd. 28/04/2022</t>
  </si>
  <si>
    <t>Max Financial Services Ltd. 28/04/2022</t>
  </si>
  <si>
    <t>Metropolis Healthcare Ltd. 28/04/2022</t>
  </si>
  <si>
    <t>MindTree Ltd. 28/04/2022</t>
  </si>
  <si>
    <t>Motherson Sumi Systems Ltd. 28/04/2022</t>
  </si>
  <si>
    <t>Mphasis Ltd. 28/04/2022</t>
  </si>
  <si>
    <t>Multi Commodity Exchange Of India Ltd. 28/04/2022</t>
  </si>
  <si>
    <t>Muthoot Finance Ltd. 28/04/2022</t>
  </si>
  <si>
    <t>National Aluminium Company Ltd. 28/04/2022</t>
  </si>
  <si>
    <t>Navin Fluorine International Ltd. 28/04/2022</t>
  </si>
  <si>
    <t>NBCC (INDIA) Ltd. 28/04/2022</t>
  </si>
  <si>
    <t>Nestle India Ltd. 28/04/2022</t>
  </si>
  <si>
    <t>Nippon Life India Asset Management Ltd. 28/04/2022</t>
  </si>
  <si>
    <t>NMDC Ltd. 28/04/2022</t>
  </si>
  <si>
    <t>NTPC Ltd. 28/04/2022</t>
  </si>
  <si>
    <t>Oberoi Realty Ltd. 28/04/2022</t>
  </si>
  <si>
    <t>Oil &amp; Natural Gas Corporation Ltd. 28/04/2022</t>
  </si>
  <si>
    <t>Oracle Financial Services Software Ltd. 28/04/2022</t>
  </si>
  <si>
    <t>P I INDUSTRIES LIMITED 28/04/2022</t>
  </si>
  <si>
    <t>Page Industries Ltd. 28/04/2022</t>
  </si>
  <si>
    <t>Persistent Systems Ltd. 28/04/2022</t>
  </si>
  <si>
    <t>Petronet LNG Ltd. 28/04/2022</t>
  </si>
  <si>
    <t>Pfizer Ltd. 28/04/2022</t>
  </si>
  <si>
    <t>Pidilite Industries Ltd. 28/04/2022</t>
  </si>
  <si>
    <t>Piramal Enterprises Ltd. 28/04/2022</t>
  </si>
  <si>
    <t>Polycab India Ltd. 28/04/2022</t>
  </si>
  <si>
    <t>Power Finance Corporation Ltd. 28/04/2022</t>
  </si>
  <si>
    <t>Power Grid Corporation of India Ltd. 28/04/2022</t>
  </si>
  <si>
    <t>Punjab National Bank 28/04/2022</t>
  </si>
  <si>
    <t>PVR Ltd. 28/04/2022</t>
  </si>
  <si>
    <t>Rain Industries Ltd. 28/04/2022</t>
  </si>
  <si>
    <t>RBL Bank Ltd. 28/04/2022</t>
  </si>
  <si>
    <t>REC Ltd. 28/04/2022</t>
  </si>
  <si>
    <t>Reliance Industries Ltd. 28/04/2022</t>
  </si>
  <si>
    <t>SBI Cards &amp; Payment Services Ltd. 28/04/2022</t>
  </si>
  <si>
    <t>SBI Life Insurance Company Ltd. 28/04/2022</t>
  </si>
  <si>
    <t>Shree Cement Ltd. 28/04/2022</t>
  </si>
  <si>
    <t>Shriram Transport Finance Company Ltd. 28/04/2022</t>
  </si>
  <si>
    <t>Siemens Ltd. 28/04/2022</t>
  </si>
  <si>
    <t>SRF Ltd. 28/04/2022</t>
  </si>
  <si>
    <t>State Bank of India 28/04/2022</t>
  </si>
  <si>
    <t>Steel Authority of India Ltd. 28/04/2022</t>
  </si>
  <si>
    <t>Strides Pharma Science Ltd. 28/04/2022</t>
  </si>
  <si>
    <t>Sun Pharmaceutical Industries Ltd. 28/04/2022</t>
  </si>
  <si>
    <t>Sun TV Network Ltd. 28/04/2022</t>
  </si>
  <si>
    <t>Syngene International Ltd. 28/04/2022</t>
  </si>
  <si>
    <t>Tata Chemicals Ltd. 28/04/2022</t>
  </si>
  <si>
    <t>Tata Communications Ltd. 28/04/2022</t>
  </si>
  <si>
    <t>Tata Consultancy Services Ltd. 28/04/2022</t>
  </si>
  <si>
    <t>Tata Consumer Products Ltd. 28/04/2022</t>
  </si>
  <si>
    <t>Tata Motors Ltd. 28/04/2022</t>
  </si>
  <si>
    <t>Tata Power Company Ltd. 28/04/2022</t>
  </si>
  <si>
    <t>Tata Steel Ltd. 28/04/2022</t>
  </si>
  <si>
    <t>Tech Mahindra Ltd. 28/04/2022</t>
  </si>
  <si>
    <t>The Federal Bank Ltd. 28/04/2022</t>
  </si>
  <si>
    <t>The India Cements Ltd. 28/04/2022</t>
  </si>
  <si>
    <t>The Indian Hotels Company Ltd. 28/04/2022</t>
  </si>
  <si>
    <t>The Ramco Cements Ltd. 28/04/2022</t>
  </si>
  <si>
    <t>Titan Company Ltd. 28/04/2022</t>
  </si>
  <si>
    <t>Torrent Pharmaceuticals Ltd. 28/04/2022</t>
  </si>
  <si>
    <t>Torrent Power Ltd. 28/04/2022</t>
  </si>
  <si>
    <t>Trent Ltd. 28/04/2022</t>
  </si>
  <si>
    <t>TVS Motor Company Ltd. 28/04/2022</t>
  </si>
  <si>
    <t>Ultratech Cement Ltd. 28/04/2022</t>
  </si>
  <si>
    <t>United Breweries Ltd. 28/04/2022</t>
  </si>
  <si>
    <t>United Spirits Ltd. 28/04/2022</t>
  </si>
  <si>
    <t>UPL Ltd. 28/04/2022</t>
  </si>
  <si>
    <t>Vedanta Ltd. 28/04/2022</t>
  </si>
  <si>
    <t>Vodafone Idea Ltd. 28/04/2022</t>
  </si>
  <si>
    <t>Whirlpool of India Ltd. 28/04/2022</t>
  </si>
  <si>
    <t>Zee Entertainment Enterprises Ltd. 28/04/2022</t>
  </si>
  <si>
    <t>Zydus Lifesciences Ltd. 28/04/2022</t>
  </si>
  <si>
    <t>Edelweiss Balanced Advantage Fund</t>
  </si>
  <si>
    <t>Edelweiss Equity Savings Fund</t>
  </si>
  <si>
    <t>Total % of existing net assets hedged through futures</t>
  </si>
  <si>
    <t>% of existing net asset hedged through futures</t>
  </si>
  <si>
    <t>TNA</t>
  </si>
  <si>
    <t>Mkt Value</t>
  </si>
  <si>
    <t>%</t>
  </si>
  <si>
    <t>JEARBF</t>
  </si>
  <si>
    <t>JEARFD</t>
  </si>
  <si>
    <t>JEESSF</t>
  </si>
  <si>
    <t>b.</t>
  </si>
  <si>
    <t>For the period 01st October 2021 to 31st March 2022, following hedging transactions through futures have been squared off/expired:</t>
  </si>
  <si>
    <t>Total number of contracts where futures were bought</t>
  </si>
  <si>
    <t>Total number of contracts where futures were sold</t>
  </si>
  <si>
    <t>Gross notional value of contracts where futures were bought</t>
  </si>
  <si>
    <t>Gross notional value of contracts where futures were sold</t>
  </si>
  <si>
    <t>Net profit/loss value on all contracts combined</t>
  </si>
  <si>
    <t>c.</t>
  </si>
  <si>
    <t>Other than hedging positions through futures as on 31st March 2022:</t>
  </si>
  <si>
    <t>Total exposure due to futures (non-hedging positions) as a %age to net assets</t>
  </si>
  <si>
    <t>JEPRUA</t>
  </si>
  <si>
    <t>Long</t>
  </si>
  <si>
    <t>Bajaj Auto Ltd. 28/04/2022</t>
  </si>
  <si>
    <t>Colgate Palmolive (India) Ltd. 28/04/2022</t>
  </si>
  <si>
    <t>JEDGEF</t>
  </si>
  <si>
    <t>Voltas Ltd. 28/04/2022</t>
  </si>
  <si>
    <t>JEMOF1</t>
  </si>
  <si>
    <t>Edelweiss Large Cap Fund</t>
  </si>
  <si>
    <t>Edelweiss Recently Listed IPO Fund</t>
  </si>
  <si>
    <t>Dixon Technologies (India) Ltd. 28/04/2022</t>
  </si>
  <si>
    <t>HDFC Asset Management Company Ltd. 28/04/2022</t>
  </si>
  <si>
    <t>d.</t>
  </si>
  <si>
    <t>For the period 01st October 2021 to 31st March 2022, following non-hedging transactions through futures have been squared off/expired:</t>
  </si>
  <si>
    <t>e.</t>
  </si>
  <si>
    <t>Hedging position through options as on 31st March 2022: Nil</t>
  </si>
  <si>
    <t>f.</t>
  </si>
  <si>
    <t>For the period 01st October 2021 to 31st March 2022, hedging transactions through options which have been squared off/expired: Nil</t>
  </si>
  <si>
    <t>g.</t>
  </si>
  <si>
    <t>Other than hedging positions through options as on 31st March 2022:</t>
  </si>
  <si>
    <t>Call / Put</t>
  </si>
  <si>
    <t>Number of contracts</t>
  </si>
  <si>
    <t>Option price when purchased</t>
  </si>
  <si>
    <t>Current option price</t>
  </si>
  <si>
    <t>Total exposure through options as a %age of net assets</t>
  </si>
  <si>
    <t>Long put</t>
  </si>
  <si>
    <t>Long call</t>
  </si>
  <si>
    <t>h.</t>
  </si>
  <si>
    <t>For the period 01st October 2021 to 31st March 2022, following non-hedging transactions through options have been squared off/expired:</t>
  </si>
  <si>
    <t>Total number of contracts entered into *</t>
  </si>
  <si>
    <t>Gross notional value of contracts entered into</t>
  </si>
  <si>
    <t>Net profit/loss value on all contracts (treat premium paid as loss)</t>
  </si>
  <si>
    <t xml:space="preserve">Call </t>
  </si>
  <si>
    <t>NIFTY</t>
  </si>
  <si>
    <t>Put</t>
  </si>
  <si>
    <t>* Includes long and squared off/expired contracts</t>
  </si>
  <si>
    <t>i.</t>
  </si>
  <si>
    <t>For the period 01st October 2021 to 31st March 2022 hedging positions through swaps: Nil</t>
  </si>
  <si>
    <r>
      <rPr>
        <b/>
        <sz val="10"/>
        <color theme="1"/>
        <rFont val="Calibri"/>
        <family val="2"/>
        <scheme val="minor"/>
      </rPr>
      <t>Note:</t>
    </r>
    <r>
      <rPr>
        <sz val="10"/>
        <color theme="1"/>
        <rFont val="Calibri"/>
        <family val="2"/>
        <scheme val="minor"/>
      </rPr>
      <t xml:space="preserve"> In case of derivative transactions, end of the day position on the date of such transaction is considered as the basis to assess the nature of transaction as hedge / non-hedge.</t>
    </r>
  </si>
  <si>
    <t>II.</t>
  </si>
  <si>
    <t>There is no exposure to credit default swaps during the half year period.</t>
  </si>
  <si>
    <t>.</t>
  </si>
  <si>
    <t>Disclosure</t>
  </si>
  <si>
    <t>Fund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</si>
</sst>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 #,##0.00_-;_-* &quot;-&quot;??_-;_-@_-"/>
    <numFmt numFmtId="165" formatCode="##,###,##0"/>
    <numFmt numFmtId="166" formatCode="#,##0.00_);\(##,##0\)"/>
    <numFmt numFmtId="167" formatCode="#,##0.00_);\(##,##0.00\)"/>
    <numFmt numFmtId="168" formatCode="0.00%_);\(0.00%\)"/>
    <numFmt numFmtId="169" formatCode="mmmm\ dd\,\ yyyy"/>
    <numFmt numFmtId="170" formatCode="#,##0.000000"/>
    <numFmt numFmtId="171" formatCode="0.0000"/>
    <numFmt numFmtId="172" formatCode="0.000"/>
    <numFmt numFmtId="173" formatCode="_(* #,##0.00_);_(* \(#,##0.00\);_(* &quot;-&quot;??_);_(@_)"/>
    <numFmt numFmtId="174" formatCode="_(* #,##0_);_(* \(#,##0\);_(* &quot;-&quot;??_);_(@_)"/>
    <numFmt numFmtId="175" formatCode="_(* #,##0_);_(* \(#,##0\);_(* &quot;-&quot;_);_(@_)"/>
  </numFmts>
  <fonts count="12" x14ac:knownFonts="1">
    <font>
      <sz val="11"/>
      <color theme="1"/>
      <name val="Calibri"/>
      <family val="2"/>
      <scheme val="minor"/>
    </font>
    <font>
      <b/>
      <sz val="14"/>
      <color theme="0"/>
      <name val="Calibri"/>
      <family val="2"/>
      <scheme val="minor"/>
    </font>
    <font>
      <b/>
      <sz val="9"/>
      <color theme="1" tint="4.9989318521683403E-2"/>
      <name val="Arial"/>
      <family val="2"/>
    </font>
    <font>
      <b/>
      <sz val="11"/>
      <color theme="1"/>
      <name val="Calibri"/>
      <family val="2"/>
      <scheme val="minor"/>
    </font>
    <font>
      <u/>
      <sz val="11"/>
      <color theme="10"/>
      <name val="Calibri"/>
      <family val="2"/>
      <scheme val="minor"/>
    </font>
    <font>
      <b/>
      <sz val="11"/>
      <name val="Calibri"/>
      <family val="2"/>
      <scheme val="minor"/>
    </font>
    <font>
      <sz val="11"/>
      <color rgb="FFFF0000"/>
      <name val="Calibri"/>
      <family val="2"/>
      <scheme val="minor"/>
    </font>
    <font>
      <u/>
      <sz val="1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11"/>
      <name val="Calibri"/>
      <family val="2"/>
      <scheme val="minor"/>
    </font>
  </fonts>
  <fills count="3">
    <fill>
      <patternFill patternType="none"/>
    </fill>
    <fill>
      <patternFill patternType="gray125"/>
    </fill>
    <fill>
      <patternFill patternType="solid">
        <fgColor theme="1"/>
        <bgColor indexed="64"/>
      </patternFill>
    </fill>
  </fills>
  <borders count="24">
    <border>
      <left/>
      <right/>
      <top/>
      <bottom/>
      <diagonal/>
    </border>
    <border>
      <left style="thin">
        <color indexed="64"/>
      </left>
      <right style="thin">
        <color indexed="64"/>
      </right>
      <top style="thin">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style="thin">
        <color auto="1"/>
      </right>
      <top style="thin">
        <color indexed="64"/>
      </top>
      <bottom style="thin">
        <color auto="1"/>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style="thin">
        <color indexed="64"/>
      </top>
      <bottom style="thin">
        <color indexed="64"/>
      </bottom>
      <diagonal/>
    </border>
    <border>
      <left style="medium">
        <color indexed="64"/>
      </left>
      <right style="thin">
        <color auto="1"/>
      </right>
      <top/>
      <bottom style="thin">
        <color indexed="64"/>
      </bottom>
      <diagonal/>
    </border>
    <border>
      <left style="thin">
        <color auto="1"/>
      </left>
      <right style="medium">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4" fillId="0" borderId="0" applyNumberFormat="0" applyFill="0" applyBorder="0" applyAlignment="0" applyProtection="0"/>
    <xf numFmtId="173" fontId="8" fillId="0" borderId="0" applyFont="0" applyFill="0" applyBorder="0" applyAlignment="0" applyProtection="0"/>
  </cellStyleXfs>
  <cellXfs count="158">
    <xf numFmtId="0" fontId="0" fillId="0" borderId="0" xfId="0"/>
    <xf numFmtId="0" fontId="3" fillId="0" borderId="0" xfId="0" applyFont="1"/>
    <xf numFmtId="10" fontId="0" fillId="0" borderId="0" xfId="0" applyNumberFormat="1"/>
    <xf numFmtId="0" fontId="0" fillId="0" borderId="0" xfId="0" applyAlignment="1">
      <alignment horizontal="right"/>
    </xf>
    <xf numFmtId="0" fontId="2" fillId="0" borderId="1" xfId="0" applyFont="1" applyBorder="1" applyAlignment="1">
      <alignment horizontal="center" vertical="center"/>
    </xf>
    <xf numFmtId="165"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10" fontId="2" fillId="0" borderId="1" xfId="0" applyNumberFormat="1" applyFont="1" applyFill="1" applyBorder="1" applyAlignment="1">
      <alignment horizontal="center" vertical="center"/>
    </xf>
    <xf numFmtId="0" fontId="0" fillId="0" borderId="2" xfId="0" applyBorder="1"/>
    <xf numFmtId="166" fontId="0" fillId="0" borderId="2" xfId="0" applyNumberFormat="1" applyBorder="1"/>
    <xf numFmtId="167" fontId="0" fillId="0" borderId="2" xfId="0" applyNumberFormat="1" applyBorder="1"/>
    <xf numFmtId="168" fontId="0" fillId="0" borderId="2" xfId="0" applyNumberFormat="1" applyBorder="1"/>
    <xf numFmtId="10" fontId="0" fillId="0" borderId="2" xfId="0" applyNumberFormat="1" applyBorder="1"/>
    <xf numFmtId="0" fontId="0" fillId="0" borderId="3" xfId="0" applyBorder="1"/>
    <xf numFmtId="165" fontId="0" fillId="0" borderId="3" xfId="0" applyNumberFormat="1" applyBorder="1"/>
    <xf numFmtId="4" fontId="0" fillId="0" borderId="3" xfId="0" applyNumberFormat="1" applyBorder="1"/>
    <xf numFmtId="10" fontId="0" fillId="0" borderId="3" xfId="0" applyNumberFormat="1" applyBorder="1"/>
    <xf numFmtId="0" fontId="3" fillId="0" borderId="3" xfId="0" applyFont="1" applyBorder="1"/>
    <xf numFmtId="165" fontId="3" fillId="0" borderId="3" xfId="0" applyNumberFormat="1" applyFont="1" applyBorder="1"/>
    <xf numFmtId="4" fontId="3" fillId="0" borderId="4" xfId="0" applyNumberFormat="1" applyFont="1" applyBorder="1"/>
    <xf numFmtId="10" fontId="3" fillId="0" borderId="4" xfId="0" applyNumberFormat="1" applyFont="1" applyBorder="1"/>
    <xf numFmtId="10" fontId="3" fillId="0" borderId="3" xfId="0" applyNumberFormat="1" applyFont="1" applyBorder="1"/>
    <xf numFmtId="0" fontId="3" fillId="0" borderId="4" xfId="0" applyFont="1" applyBorder="1"/>
    <xf numFmtId="165" fontId="3" fillId="0" borderId="4" xfId="0" applyNumberFormat="1" applyFont="1" applyBorder="1"/>
    <xf numFmtId="167" fontId="0" fillId="0" borderId="3" xfId="0" applyNumberFormat="1" applyBorder="1"/>
    <xf numFmtId="168" fontId="0" fillId="0" borderId="3" xfId="0" applyNumberFormat="1" applyBorder="1"/>
    <xf numFmtId="0" fontId="3" fillId="0" borderId="5" xfId="0" applyFont="1" applyBorder="1"/>
    <xf numFmtId="165" fontId="3" fillId="0" borderId="5" xfId="0" applyNumberFormat="1" applyFont="1" applyBorder="1"/>
    <xf numFmtId="4" fontId="3" fillId="0" borderId="5" xfId="0" applyNumberFormat="1" applyFont="1" applyBorder="1"/>
    <xf numFmtId="10" fontId="3" fillId="0" borderId="5" xfId="0" applyNumberFormat="1" applyFont="1" applyBorder="1"/>
    <xf numFmtId="0" fontId="0" fillId="0" borderId="2" xfId="0" applyBorder="1" applyAlignment="1">
      <alignment horizontal="center"/>
    </xf>
    <xf numFmtId="0" fontId="0" fillId="0" borderId="3" xfId="0"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4" fontId="3" fillId="0" borderId="6" xfId="0" applyNumberFormat="1" applyFont="1" applyBorder="1"/>
    <xf numFmtId="10" fontId="3" fillId="0" borderId="6" xfId="0" applyNumberFormat="1" applyFont="1" applyBorder="1"/>
    <xf numFmtId="4" fontId="0" fillId="0" borderId="6" xfId="0" applyNumberFormat="1" applyBorder="1" applyAlignment="1">
      <alignment horizontal="right"/>
    </xf>
    <xf numFmtId="10" fontId="0" fillId="0" borderId="6" xfId="0" applyNumberFormat="1" applyBorder="1" applyAlignment="1">
      <alignment horizontal="right"/>
    </xf>
    <xf numFmtId="166" fontId="0" fillId="0" borderId="3" xfId="0" applyNumberFormat="1" applyBorder="1"/>
    <xf numFmtId="167" fontId="3" fillId="0" borderId="6" xfId="0" applyNumberFormat="1" applyFont="1" applyBorder="1"/>
    <xf numFmtId="168" fontId="3" fillId="0" borderId="6" xfId="0" applyNumberFormat="1" applyFont="1" applyBorder="1"/>
    <xf numFmtId="4" fontId="3" fillId="0" borderId="3" xfId="0" applyNumberFormat="1" applyFont="1" applyBorder="1"/>
    <xf numFmtId="0" fontId="0" fillId="0" borderId="0" xfId="0" applyAlignment="1">
      <alignment wrapText="1"/>
    </xf>
    <xf numFmtId="169" fontId="3" fillId="0" borderId="0" xfId="0" applyNumberFormat="1" applyFont="1"/>
    <xf numFmtId="4" fontId="0" fillId="0" borderId="0" xfId="0" applyNumberFormat="1" applyAlignment="1">
      <alignment horizontal="right"/>
    </xf>
    <xf numFmtId="0" fontId="4" fillId="0" borderId="0" xfId="1"/>
    <xf numFmtId="0" fontId="3" fillId="0" borderId="0" xfId="0" applyFont="1"/>
    <xf numFmtId="4" fontId="0" fillId="0" borderId="5" xfId="0" applyNumberFormat="1" applyBorder="1" applyAlignment="1">
      <alignment horizontal="right"/>
    </xf>
    <xf numFmtId="10" fontId="0" fillId="0" borderId="5" xfId="0" applyNumberFormat="1" applyBorder="1" applyAlignment="1">
      <alignment horizontal="right"/>
    </xf>
    <xf numFmtId="0" fontId="5" fillId="0" borderId="8" xfId="0" applyFont="1" applyBorder="1" applyAlignment="1">
      <alignment vertical="top"/>
    </xf>
    <xf numFmtId="0" fontId="5" fillId="0" borderId="9" xfId="0" applyFont="1" applyBorder="1" applyAlignment="1">
      <alignment vertical="top" wrapText="1"/>
    </xf>
    <xf numFmtId="4" fontId="0" fillId="0" borderId="3" xfId="0" applyNumberFormat="1" applyBorder="1" applyAlignment="1">
      <alignment horizontal="right"/>
    </xf>
    <xf numFmtId="10" fontId="0" fillId="0" borderId="3" xfId="0" applyNumberFormat="1" applyBorder="1" applyAlignment="1">
      <alignment horizontal="right"/>
    </xf>
    <xf numFmtId="0" fontId="0" fillId="0" borderId="7" xfId="0" applyBorder="1"/>
    <xf numFmtId="0" fontId="6" fillId="0" borderId="0" xfId="0" applyFont="1"/>
    <xf numFmtId="0" fontId="0" fillId="0" borderId="0" xfId="0" applyBorder="1"/>
    <xf numFmtId="171" fontId="0" fillId="0" borderId="0" xfId="0" applyNumberFormat="1" applyAlignment="1">
      <alignment horizontal="right"/>
    </xf>
    <xf numFmtId="171" fontId="0" fillId="0" borderId="0" xfId="0" applyNumberFormat="1"/>
    <xf numFmtId="10" fontId="0" fillId="0" borderId="0" xfId="0" applyNumberFormat="1" applyBorder="1"/>
    <xf numFmtId="0" fontId="3" fillId="0" borderId="0" xfId="0" applyFont="1" applyBorder="1"/>
    <xf numFmtId="0" fontId="3" fillId="0" borderId="0" xfId="0" applyFont="1" applyBorder="1" applyAlignment="1">
      <alignment horizontal="center"/>
    </xf>
    <xf numFmtId="165" fontId="3" fillId="0" borderId="0" xfId="0" applyNumberFormat="1" applyFont="1" applyBorder="1"/>
    <xf numFmtId="4" fontId="3" fillId="0" borderId="0" xfId="0" applyNumberFormat="1" applyFont="1" applyBorder="1"/>
    <xf numFmtId="10" fontId="3" fillId="0" borderId="0" xfId="0" applyNumberFormat="1" applyFont="1" applyBorder="1"/>
    <xf numFmtId="0" fontId="5" fillId="0" borderId="7" xfId="0" applyFont="1" applyBorder="1" applyAlignment="1">
      <alignment vertical="top" wrapText="1"/>
    </xf>
    <xf numFmtId="10" fontId="0" fillId="0" borderId="12" xfId="0" applyNumberFormat="1" applyBorder="1"/>
    <xf numFmtId="0" fontId="2" fillId="0" borderId="13" xfId="0" applyFont="1" applyBorder="1" applyAlignment="1">
      <alignment horizontal="center" vertical="center"/>
    </xf>
    <xf numFmtId="0" fontId="2" fillId="0" borderId="2" xfId="0" applyFont="1" applyBorder="1" applyAlignment="1">
      <alignment horizontal="center" vertical="center"/>
    </xf>
    <xf numFmtId="165" fontId="2" fillId="0" borderId="2" xfId="0" applyNumberFormat="1" applyFont="1" applyBorder="1" applyAlignment="1">
      <alignment horizontal="center" vertical="center"/>
    </xf>
    <xf numFmtId="0" fontId="2" fillId="0" borderId="2" xfId="0" applyFont="1" applyBorder="1" applyAlignment="1">
      <alignment horizontal="center" vertical="center" wrapText="1"/>
    </xf>
    <xf numFmtId="10" fontId="2" fillId="0" borderId="14" xfId="0" applyNumberFormat="1" applyFont="1" applyFill="1" applyBorder="1" applyAlignment="1">
      <alignment horizontal="center" vertical="center"/>
    </xf>
    <xf numFmtId="0" fontId="0" fillId="0" borderId="13" xfId="0" applyBorder="1"/>
    <xf numFmtId="10" fontId="0" fillId="0" borderId="14" xfId="0" applyNumberFormat="1" applyBorder="1"/>
    <xf numFmtId="0" fontId="0" fillId="0" borderId="15" xfId="0" applyBorder="1"/>
    <xf numFmtId="10" fontId="0" fillId="0" borderId="16" xfId="0" applyNumberFormat="1" applyBorder="1"/>
    <xf numFmtId="0" fontId="3" fillId="0" borderId="15" xfId="0" applyFont="1" applyBorder="1"/>
    <xf numFmtId="10" fontId="3" fillId="0" borderId="16" xfId="0" applyNumberFormat="1" applyFont="1" applyBorder="1"/>
    <xf numFmtId="0" fontId="3" fillId="0" borderId="17" xfId="0" applyFont="1" applyBorder="1"/>
    <xf numFmtId="0" fontId="3" fillId="0" borderId="6" xfId="0" applyFont="1" applyBorder="1" applyAlignment="1">
      <alignment horizontal="center"/>
    </xf>
    <xf numFmtId="165" fontId="3" fillId="0" borderId="6" xfId="0" applyNumberFormat="1" applyFont="1" applyBorder="1"/>
    <xf numFmtId="0" fontId="3" fillId="0" borderId="18" xfId="0" applyFont="1" applyBorder="1"/>
    <xf numFmtId="10" fontId="3" fillId="0" borderId="19" xfId="0" applyNumberFormat="1" applyFont="1" applyBorder="1"/>
    <xf numFmtId="0" fontId="3" fillId="0" borderId="7" xfId="0" applyFont="1" applyBorder="1"/>
    <xf numFmtId="0" fontId="0" fillId="0" borderId="7" xfId="0" applyBorder="1" applyAlignment="1">
      <alignment wrapText="1"/>
    </xf>
    <xf numFmtId="0" fontId="0" fillId="0" borderId="0" xfId="0" applyBorder="1" applyAlignment="1">
      <alignment horizontal="right"/>
    </xf>
    <xf numFmtId="169" fontId="3" fillId="0" borderId="0" xfId="0" applyNumberFormat="1" applyFont="1" applyBorder="1"/>
    <xf numFmtId="0" fontId="0" fillId="0" borderId="12" xfId="0" applyBorder="1"/>
    <xf numFmtId="4" fontId="0" fillId="0" borderId="0" xfId="0" applyNumberFormat="1" applyBorder="1" applyAlignment="1">
      <alignment horizontal="right"/>
    </xf>
    <xf numFmtId="0" fontId="0" fillId="0" borderId="9" xfId="0" applyBorder="1"/>
    <xf numFmtId="0" fontId="0" fillId="0" borderId="20" xfId="0" applyBorder="1"/>
    <xf numFmtId="10" fontId="0" fillId="0" borderId="21" xfId="0" applyNumberFormat="1" applyBorder="1"/>
    <xf numFmtId="0" fontId="0" fillId="0" borderId="0" xfId="0" applyFont="1" applyBorder="1" applyAlignment="1">
      <alignment horizontal="right"/>
    </xf>
    <xf numFmtId="170" fontId="3" fillId="0" borderId="17" xfId="0" applyNumberFormat="1" applyFont="1" applyBorder="1"/>
    <xf numFmtId="170" fontId="3" fillId="0" borderId="6" xfId="0" applyNumberFormat="1" applyFont="1" applyBorder="1"/>
    <xf numFmtId="170" fontId="3" fillId="0" borderId="6" xfId="0" applyNumberFormat="1" applyFont="1" applyBorder="1" applyAlignment="1">
      <alignment horizontal="right"/>
    </xf>
    <xf numFmtId="170" fontId="0" fillId="0" borderId="17" xfId="0" applyNumberFormat="1" applyBorder="1"/>
    <xf numFmtId="170" fontId="0" fillId="0" borderId="6" xfId="0" applyNumberFormat="1" applyBorder="1"/>
    <xf numFmtId="10" fontId="3" fillId="0" borderId="12" xfId="0" applyNumberFormat="1" applyFont="1" applyBorder="1"/>
    <xf numFmtId="171" fontId="0" fillId="0" borderId="0" xfId="0" applyNumberFormat="1" applyBorder="1" applyAlignment="1">
      <alignment horizontal="right"/>
    </xf>
    <xf numFmtId="0" fontId="0" fillId="0" borderId="7" xfId="0" applyFill="1" applyBorder="1"/>
    <xf numFmtId="171" fontId="0" fillId="0" borderId="0" xfId="0" applyNumberFormat="1" applyBorder="1"/>
    <xf numFmtId="2" fontId="0" fillId="0" borderId="0" xfId="0" applyNumberFormat="1" applyBorder="1"/>
    <xf numFmtId="172" fontId="0" fillId="0" borderId="0" xfId="0" applyNumberFormat="1" applyBorder="1"/>
    <xf numFmtId="171" fontId="0" fillId="0" borderId="0" xfId="0" applyNumberFormat="1" applyFill="1" applyBorder="1" applyAlignment="1">
      <alignment horizontal="right"/>
    </xf>
    <xf numFmtId="170" fontId="3" fillId="0" borderId="17" xfId="0" applyNumberFormat="1" applyFont="1" applyBorder="1" applyAlignment="1">
      <alignment horizontal="left"/>
    </xf>
    <xf numFmtId="10" fontId="3" fillId="0" borderId="6" xfId="0" applyNumberFormat="1" applyFont="1" applyBorder="1" applyAlignment="1">
      <alignment horizontal="right"/>
    </xf>
    <xf numFmtId="0" fontId="3" fillId="0" borderId="6" xfId="0" applyFont="1" applyBorder="1"/>
    <xf numFmtId="0" fontId="3" fillId="0" borderId="6" xfId="0" applyFont="1" applyBorder="1" applyAlignment="1">
      <alignment vertical="top"/>
    </xf>
    <xf numFmtId="0" fontId="3" fillId="0" borderId="6" xfId="0" applyFont="1" applyBorder="1" applyAlignment="1">
      <alignment vertical="top" wrapText="1"/>
    </xf>
    <xf numFmtId="0" fontId="4" fillId="0" borderId="6" xfId="1" applyBorder="1"/>
    <xf numFmtId="0" fontId="0" fillId="0" borderId="6" xfId="0" applyBorder="1" applyAlignment="1">
      <alignment vertical="top"/>
    </xf>
    <xf numFmtId="0" fontId="0" fillId="0" borderId="6" xfId="0" applyBorder="1" applyAlignment="1">
      <alignment vertical="top" wrapText="1"/>
    </xf>
    <xf numFmtId="0" fontId="7" fillId="0" borderId="6" xfId="1" applyFont="1" applyFill="1" applyBorder="1" applyAlignment="1">
      <alignment vertical="top"/>
    </xf>
    <xf numFmtId="0" fontId="0" fillId="0" borderId="6" xfId="0" applyBorder="1"/>
    <xf numFmtId="0" fontId="0" fillId="0" borderId="6" xfId="0" applyBorder="1" applyAlignment="1">
      <alignment horizontal="left" vertical="top" wrapText="1"/>
    </xf>
    <xf numFmtId="0" fontId="9" fillId="0" borderId="0" xfId="0" applyFont="1" applyAlignment="1">
      <alignment horizontal="center" vertical="top"/>
    </xf>
    <xf numFmtId="0" fontId="9" fillId="0" borderId="0" xfId="0" applyFont="1" applyAlignment="1">
      <alignment vertical="top"/>
    </xf>
    <xf numFmtId="0" fontId="10" fillId="0" borderId="0" xfId="0" applyFont="1" applyAlignment="1">
      <alignment vertical="top"/>
    </xf>
    <xf numFmtId="0" fontId="9" fillId="0" borderId="6" xfId="0" applyFont="1" applyBorder="1" applyAlignment="1">
      <alignment vertical="top"/>
    </xf>
    <xf numFmtId="0" fontId="9" fillId="0" borderId="22" xfId="0" applyFont="1" applyBorder="1" applyAlignment="1">
      <alignment vertical="top"/>
    </xf>
    <xf numFmtId="0" fontId="9" fillId="0" borderId="23" xfId="0" applyFont="1" applyBorder="1" applyAlignment="1">
      <alignment vertical="top"/>
    </xf>
    <xf numFmtId="0" fontId="10" fillId="0" borderId="6" xfId="0" applyFont="1" applyBorder="1" applyAlignment="1">
      <alignment vertical="top"/>
    </xf>
    <xf numFmtId="3" fontId="10" fillId="0" borderId="6" xfId="0" applyNumberFormat="1" applyFont="1" applyBorder="1" applyAlignment="1">
      <alignment vertical="top"/>
    </xf>
    <xf numFmtId="173" fontId="10" fillId="0" borderId="6" xfId="0" applyNumberFormat="1" applyFont="1" applyBorder="1" applyAlignment="1">
      <alignment vertical="top"/>
    </xf>
    <xf numFmtId="2" fontId="10" fillId="0" borderId="0" xfId="0" applyNumberFormat="1" applyFont="1" applyAlignment="1">
      <alignment vertical="top"/>
    </xf>
    <xf numFmtId="164" fontId="10" fillId="0" borderId="0" xfId="0" applyNumberFormat="1" applyFont="1" applyAlignment="1">
      <alignment vertical="top"/>
    </xf>
    <xf numFmtId="173" fontId="10" fillId="0" borderId="0" xfId="0" applyNumberFormat="1" applyFont="1" applyAlignment="1">
      <alignment vertical="top"/>
    </xf>
    <xf numFmtId="10" fontId="10" fillId="0" borderId="0" xfId="0" applyNumberFormat="1" applyFont="1" applyAlignment="1">
      <alignment vertical="top"/>
    </xf>
    <xf numFmtId="174" fontId="10" fillId="0" borderId="6" xfId="2" applyNumberFormat="1" applyFont="1" applyFill="1" applyBorder="1" applyAlignment="1">
      <alignment vertical="top"/>
    </xf>
    <xf numFmtId="0" fontId="0" fillId="0" borderId="0" xfId="0" applyAlignment="1">
      <alignment vertical="top"/>
    </xf>
    <xf numFmtId="175" fontId="10" fillId="0" borderId="0" xfId="0" applyNumberFormat="1" applyFont="1" applyAlignment="1">
      <alignment vertical="top"/>
    </xf>
    <xf numFmtId="4" fontId="10" fillId="0" borderId="0" xfId="0" applyNumberFormat="1" applyFont="1" applyAlignment="1">
      <alignment vertical="top"/>
    </xf>
    <xf numFmtId="10" fontId="10" fillId="0" borderId="6" xfId="0" applyNumberFormat="1" applyFont="1" applyBorder="1" applyAlignment="1">
      <alignment horizontal="center" vertical="top"/>
    </xf>
    <xf numFmtId="10" fontId="10" fillId="0" borderId="0" xfId="0" applyNumberFormat="1" applyFont="1" applyAlignment="1">
      <alignment horizontal="center" vertical="top"/>
    </xf>
    <xf numFmtId="0" fontId="9" fillId="0" borderId="6" xfId="0" applyFont="1" applyBorder="1" applyAlignment="1">
      <alignment vertical="top" wrapText="1"/>
    </xf>
    <xf numFmtId="175" fontId="10" fillId="0" borderId="6" xfId="0" applyNumberFormat="1" applyFont="1" applyBorder="1" applyAlignment="1">
      <alignment vertical="top"/>
    </xf>
    <xf numFmtId="3" fontId="10" fillId="0" borderId="0" xfId="0" applyNumberFormat="1" applyFont="1" applyAlignment="1">
      <alignment vertical="top"/>
    </xf>
    <xf numFmtId="0" fontId="1" fillId="2" borderId="8"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0"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0" xfId="0" applyFont="1" applyFill="1" applyAlignment="1">
      <alignment horizontal="center" vertical="center" wrapText="1"/>
    </xf>
    <xf numFmtId="0" fontId="3" fillId="0" borderId="7" xfId="0" quotePrefix="1" applyFont="1" applyBorder="1" applyAlignment="1">
      <alignment horizontal="left" vertical="top" wrapText="1"/>
    </xf>
    <xf numFmtId="0" fontId="3" fillId="0" borderId="0" xfId="0" quotePrefix="1" applyFont="1" applyBorder="1" applyAlignment="1">
      <alignment horizontal="left" vertical="top" wrapText="1"/>
    </xf>
    <xf numFmtId="173" fontId="10" fillId="0" borderId="2" xfId="0" applyNumberFormat="1" applyFont="1" applyBorder="1" applyAlignment="1">
      <alignment vertical="center"/>
    </xf>
    <xf numFmtId="173" fontId="10" fillId="0" borderId="5" xfId="0" applyNumberFormat="1" applyFont="1" applyBorder="1" applyAlignment="1">
      <alignment vertical="center"/>
    </xf>
    <xf numFmtId="0" fontId="3" fillId="0" borderId="6" xfId="0" applyFont="1" applyBorder="1" applyAlignment="1">
      <alignment horizontal="center"/>
    </xf>
    <xf numFmtId="0" fontId="5" fillId="0" borderId="6" xfId="0" applyFont="1" applyBorder="1"/>
    <xf numFmtId="0" fontId="5" fillId="0" borderId="6" xfId="0" applyFont="1" applyBorder="1" applyAlignment="1">
      <alignment vertical="top"/>
    </xf>
    <xf numFmtId="0" fontId="11" fillId="0" borderId="6" xfId="0" applyFont="1" applyBorder="1"/>
    <xf numFmtId="0" fontId="7" fillId="0" borderId="6" xfId="1" applyFont="1" applyBorder="1"/>
    <xf numFmtId="0" fontId="11" fillId="0" borderId="6" xfId="0" applyFont="1" applyBorder="1" applyAlignment="1">
      <alignment vertical="top"/>
    </xf>
    <xf numFmtId="0" fontId="11" fillId="0" borderId="6" xfId="0" applyFont="1" applyBorder="1" applyAlignment="1">
      <alignment vertical="top" wrapText="1"/>
    </xf>
    <xf numFmtId="0" fontId="11" fillId="0" borderId="6" xfId="0" applyFont="1" applyFill="1" applyBorder="1" applyAlignment="1">
      <alignment vertical="top" wrapText="1"/>
    </xf>
    <xf numFmtId="0" fontId="11" fillId="0" borderId="6" xfId="0" applyFont="1" applyBorder="1" applyAlignment="1">
      <alignment horizontal="left" vertical="top" wrapText="1"/>
    </xf>
  </cellXfs>
  <cellStyles count="3">
    <cellStyle name="Comma 2" xfId="2" xr:uid="{0C7CD335-1BD1-44D9-A045-748041845FE3}"/>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63" Type="http://schemas.openxmlformats.org/officeDocument/2006/relationships/image" Target="../media/image63.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65.png"/><Relationship Id="rId1" Type="http://schemas.openxmlformats.org/officeDocument/2006/relationships/image" Target="../media/image64.png"/></Relationships>
</file>

<file path=xl/drawings/_rels/drawing3.xml.rels><?xml version="1.0" encoding="UTF-8" standalone="yes"?>
<Relationships xmlns="http://schemas.openxmlformats.org/package/2006/relationships"><Relationship Id="rId2" Type="http://schemas.openxmlformats.org/officeDocument/2006/relationships/image" Target="../media/image67.png"/><Relationship Id="rId1" Type="http://schemas.openxmlformats.org/officeDocument/2006/relationships/image" Target="../media/image66.png"/></Relationships>
</file>

<file path=xl/drawings/_rels/drawing4.xml.rels><?xml version="1.0" encoding="UTF-8" standalone="yes"?>
<Relationships xmlns="http://schemas.openxmlformats.org/package/2006/relationships"><Relationship Id="rId2" Type="http://schemas.openxmlformats.org/officeDocument/2006/relationships/image" Target="../media/image69.png"/><Relationship Id="rId1" Type="http://schemas.openxmlformats.org/officeDocument/2006/relationships/image" Target="../media/image68.png"/></Relationships>
</file>

<file path=xl/drawings/_rels/drawing5.xml.rels><?xml version="1.0" encoding="UTF-8" standalone="yes"?>
<Relationships xmlns="http://schemas.openxmlformats.org/package/2006/relationships"><Relationship Id="rId2" Type="http://schemas.openxmlformats.org/officeDocument/2006/relationships/image" Target="../media/image71.png"/><Relationship Id="rId1" Type="http://schemas.openxmlformats.org/officeDocument/2006/relationships/image" Target="../media/image70.png"/></Relationships>
</file>

<file path=xl/drawings/_rels/drawing6.xml.rels><?xml version="1.0" encoding="UTF-8" standalone="yes"?>
<Relationships xmlns="http://schemas.openxmlformats.org/package/2006/relationships"><Relationship Id="rId2" Type="http://schemas.openxmlformats.org/officeDocument/2006/relationships/image" Target="../media/image73.png"/><Relationship Id="rId1" Type="http://schemas.openxmlformats.org/officeDocument/2006/relationships/image" Target="../media/image72.png"/></Relationships>
</file>

<file path=xl/drawings/_rels/drawing7.xml.rels><?xml version="1.0" encoding="UTF-8" standalone="yes"?>
<Relationships xmlns="http://schemas.openxmlformats.org/package/2006/relationships"><Relationship Id="rId2" Type="http://schemas.openxmlformats.org/officeDocument/2006/relationships/image" Target="../media/image75.png"/><Relationship Id="rId1" Type="http://schemas.openxmlformats.org/officeDocument/2006/relationships/image" Target="../media/image74.png"/></Relationships>
</file>

<file path=xl/drawings/_rels/drawing8.xml.rels><?xml version="1.0" encoding="UTF-8" standalone="yes"?>
<Relationships xmlns="http://schemas.openxmlformats.org/package/2006/relationships"><Relationship Id="rId2" Type="http://schemas.openxmlformats.org/officeDocument/2006/relationships/image" Target="../media/image77.png"/><Relationship Id="rId1" Type="http://schemas.openxmlformats.org/officeDocument/2006/relationships/image" Target="../media/image76.png"/></Relationships>
</file>

<file path=xl/drawings/_rels/drawing9.xml.rels><?xml version="1.0" encoding="UTF-8" standalone="yes"?>
<Relationships xmlns="http://schemas.openxmlformats.org/package/2006/relationships"><Relationship Id="rId1" Type="http://schemas.openxmlformats.org/officeDocument/2006/relationships/image" Target="../media/image7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9.png"/><Relationship Id="rId1" Type="http://schemas.openxmlformats.org/officeDocument/2006/relationships/image" Target="../media/image7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81.png"/><Relationship Id="rId1" Type="http://schemas.openxmlformats.org/officeDocument/2006/relationships/image" Target="../media/image80.png"/></Relationships>
</file>

<file path=xl/drawings/_rels/drawing12.xml.rels><?xml version="1.0" encoding="UTF-8" standalone="yes"?>
<Relationships xmlns="http://schemas.openxmlformats.org/package/2006/relationships"><Relationship Id="rId2" Type="http://schemas.openxmlformats.org/officeDocument/2006/relationships/image" Target="../media/image82.png"/><Relationship Id="rId1" Type="http://schemas.openxmlformats.org/officeDocument/2006/relationships/image" Target="../media/image7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84.png"/><Relationship Id="rId1" Type="http://schemas.openxmlformats.org/officeDocument/2006/relationships/image" Target="../media/image8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85.png"/><Relationship Id="rId1" Type="http://schemas.openxmlformats.org/officeDocument/2006/relationships/image" Target="../media/image7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87.png"/><Relationship Id="rId1" Type="http://schemas.openxmlformats.org/officeDocument/2006/relationships/image" Target="../media/image86.png"/></Relationships>
</file>

<file path=xl/drawings/_rels/drawing16.xml.rels><?xml version="1.0" encoding="UTF-8" standalone="yes"?>
<Relationships xmlns="http://schemas.openxmlformats.org/package/2006/relationships"><Relationship Id="rId2" Type="http://schemas.openxmlformats.org/officeDocument/2006/relationships/image" Target="../media/image89.png"/><Relationship Id="rId1" Type="http://schemas.openxmlformats.org/officeDocument/2006/relationships/image" Target="../media/image88.png"/></Relationships>
</file>

<file path=xl/drawings/_rels/drawing17.xml.rels><?xml version="1.0" encoding="UTF-8" standalone="yes"?>
<Relationships xmlns="http://schemas.openxmlformats.org/package/2006/relationships"><Relationship Id="rId2" Type="http://schemas.openxmlformats.org/officeDocument/2006/relationships/image" Target="../media/image91.png"/><Relationship Id="rId1" Type="http://schemas.openxmlformats.org/officeDocument/2006/relationships/image" Target="../media/image90.png"/></Relationships>
</file>

<file path=xl/drawings/_rels/drawing18.xml.rels><?xml version="1.0" encoding="UTF-8" standalone="yes"?>
<Relationships xmlns="http://schemas.openxmlformats.org/package/2006/relationships"><Relationship Id="rId2" Type="http://schemas.openxmlformats.org/officeDocument/2006/relationships/image" Target="../media/image93.png"/><Relationship Id="rId1" Type="http://schemas.openxmlformats.org/officeDocument/2006/relationships/image" Target="../media/image9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_rels/drawing22.xml.rels><?xml version="1.0" encoding="UTF-8" standalone="yes"?>
<Relationships xmlns="http://schemas.openxmlformats.org/package/2006/relationships"><Relationship Id="rId2" Type="http://schemas.openxmlformats.org/officeDocument/2006/relationships/image" Target="../media/image94.png"/><Relationship Id="rId1" Type="http://schemas.openxmlformats.org/officeDocument/2006/relationships/image" Target="../media/image34.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38.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40.png"/></Relationships>
</file>

<file path=xl/drawings/_rels/drawing27.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3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43.png"/><Relationship Id="rId1" Type="http://schemas.openxmlformats.org/officeDocument/2006/relationships/image" Target="../media/image4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94.png"/><Relationship Id="rId1" Type="http://schemas.openxmlformats.org/officeDocument/2006/relationships/image" Target="../media/image45.png"/></Relationships>
</file>

<file path=xl/drawings/_rels/drawing30.xml.rels><?xml version="1.0" encoding="UTF-8" standalone="yes"?>
<Relationships xmlns="http://schemas.openxmlformats.org/package/2006/relationships"><Relationship Id="rId2" Type="http://schemas.openxmlformats.org/officeDocument/2006/relationships/image" Target="../media/image47.png"/><Relationship Id="rId1" Type="http://schemas.openxmlformats.org/officeDocument/2006/relationships/image" Target="../media/image46.png"/></Relationships>
</file>

<file path=xl/drawings/_rels/drawing31.xml.rels><?xml version="1.0" encoding="UTF-8" standalone="yes"?>
<Relationships xmlns="http://schemas.openxmlformats.org/package/2006/relationships"><Relationship Id="rId2" Type="http://schemas.openxmlformats.org/officeDocument/2006/relationships/image" Target="../media/image47.png"/><Relationship Id="rId1" Type="http://schemas.openxmlformats.org/officeDocument/2006/relationships/image" Target="../media/image48.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49.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50.png"/></Relationships>
</file>

<file path=xl/drawings/_rels/drawing34.xml.rels><?xml version="1.0" encoding="UTF-8" standalone="yes"?>
<Relationships xmlns="http://schemas.openxmlformats.org/package/2006/relationships"><Relationship Id="rId2" Type="http://schemas.openxmlformats.org/officeDocument/2006/relationships/image" Target="../media/image52.png"/><Relationship Id="rId1" Type="http://schemas.openxmlformats.org/officeDocument/2006/relationships/image" Target="../media/image5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95.png"/><Relationship Id="rId1" Type="http://schemas.openxmlformats.org/officeDocument/2006/relationships/image" Target="../media/image53.png"/></Relationships>
</file>

<file path=xl/drawings/_rels/drawing36.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55.png"/></Relationships>
</file>

<file path=xl/drawings/_rels/drawing37.xml.rels><?xml version="1.0" encoding="UTF-8" standalone="yes"?>
<Relationships xmlns="http://schemas.openxmlformats.org/package/2006/relationships"><Relationship Id="rId2" Type="http://schemas.openxmlformats.org/officeDocument/2006/relationships/image" Target="../media/image58.png"/><Relationship Id="rId1" Type="http://schemas.openxmlformats.org/officeDocument/2006/relationships/image" Target="../media/image57.png"/></Relationships>
</file>

<file path=xl/drawings/_rels/drawing38.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59.png"/></Relationships>
</file>

<file path=xl/drawings/_rels/drawing39.xml.rels><?xml version="1.0" encoding="UTF-8" standalone="yes"?>
<Relationships xmlns="http://schemas.openxmlformats.org/package/2006/relationships"><Relationship Id="rId2" Type="http://schemas.openxmlformats.org/officeDocument/2006/relationships/image" Target="../media/image96.png"/><Relationship Id="rId1" Type="http://schemas.openxmlformats.org/officeDocument/2006/relationships/image" Target="../media/image60.png"/></Relationships>
</file>

<file path=xl/drawings/_rels/drawing40.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6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62.png"/></Relationships>
</file>

<file path=xl/drawings/_rels/drawing42.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63.png"/></Relationships>
</file>

<file path=xl/drawings/drawing1.xml><?xml version="1.0" encoding="utf-8"?>
<xdr:wsDr xmlns:xdr="http://schemas.openxmlformats.org/drawingml/2006/spreadsheetDrawing" xmlns:a="http://schemas.openxmlformats.org/drawingml/2006/main">
  <xdr:twoCellAnchor>
    <xdr:from>
      <xdr:col>1</xdr:col>
      <xdr:colOff>0</xdr:colOff>
      <xdr:row>12</xdr:row>
      <xdr:rowOff>7620</xdr:rowOff>
    </xdr:from>
    <xdr:to>
      <xdr:col>1</xdr:col>
      <xdr:colOff>7620</xdr:colOff>
      <xdr:row>12</xdr:row>
      <xdr:rowOff>705733</xdr:rowOff>
    </xdr:to>
    <xdr:pic>
      <xdr:nvPicPr>
        <xdr:cNvPr id="27" name="Picture 26">
          <a:extLst>
            <a:ext uri="{FF2B5EF4-FFF2-40B4-BE49-F238E27FC236}">
              <a16:creationId xmlns:a16="http://schemas.microsoft.com/office/drawing/2014/main" id="{00000000-0008-0000-0000-00001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98995" y="7522845"/>
          <a:ext cx="1476375" cy="6981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100965</xdr:colOff>
      <xdr:row>4</xdr:row>
      <xdr:rowOff>32385</xdr:rowOff>
    </xdr:from>
    <xdr:to>
      <xdr:col>2</xdr:col>
      <xdr:colOff>1819275</xdr:colOff>
      <xdr:row>4</xdr:row>
      <xdr:rowOff>742950</xdr:rowOff>
    </xdr:to>
    <xdr:pic>
      <xdr:nvPicPr>
        <xdr:cNvPr id="99" name="Picture 98">
          <a:extLst>
            <a:ext uri="{FF2B5EF4-FFF2-40B4-BE49-F238E27FC236}">
              <a16:creationId xmlns:a16="http://schemas.microsoft.com/office/drawing/2014/main" id="{00000000-0008-0000-0000-00006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63390" y="1127760"/>
          <a:ext cx="1718310" cy="710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76201</xdr:colOff>
      <xdr:row>4</xdr:row>
      <xdr:rowOff>0</xdr:rowOff>
    </xdr:from>
    <xdr:to>
      <xdr:col>4</xdr:col>
      <xdr:colOff>1582883</xdr:colOff>
      <xdr:row>4</xdr:row>
      <xdr:rowOff>815339</xdr:rowOff>
    </xdr:to>
    <xdr:pic>
      <xdr:nvPicPr>
        <xdr:cNvPr id="100" name="Picture 99">
          <a:extLst>
            <a:ext uri="{FF2B5EF4-FFF2-40B4-BE49-F238E27FC236}">
              <a16:creationId xmlns:a16="http://schemas.microsoft.com/office/drawing/2014/main" id="{00000000-0008-0000-0000-00006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267576" y="571500"/>
          <a:ext cx="1401907" cy="7677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57150</xdr:colOff>
      <xdr:row>5</xdr:row>
      <xdr:rowOff>38099</xdr:rowOff>
    </xdr:from>
    <xdr:to>
      <xdr:col>2</xdr:col>
      <xdr:colOff>1571625</xdr:colOff>
      <xdr:row>6</xdr:row>
      <xdr:rowOff>2964</xdr:rowOff>
    </xdr:to>
    <xdr:pic>
      <xdr:nvPicPr>
        <xdr:cNvPr id="101" name="Picture 100">
          <a:extLst>
            <a:ext uri="{FF2B5EF4-FFF2-40B4-BE49-F238E27FC236}">
              <a16:creationId xmlns:a16="http://schemas.microsoft.com/office/drawing/2014/main" id="{00000000-0008-0000-0000-00006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219575" y="1381124"/>
          <a:ext cx="1323975" cy="736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57151</xdr:colOff>
      <xdr:row>5</xdr:row>
      <xdr:rowOff>38100</xdr:rowOff>
    </xdr:from>
    <xdr:to>
      <xdr:col>4</xdr:col>
      <xdr:colOff>1704975</xdr:colOff>
      <xdr:row>6</xdr:row>
      <xdr:rowOff>3103</xdr:rowOff>
    </xdr:to>
    <xdr:pic>
      <xdr:nvPicPr>
        <xdr:cNvPr id="102" name="Picture 101">
          <a:extLst>
            <a:ext uri="{FF2B5EF4-FFF2-40B4-BE49-F238E27FC236}">
              <a16:creationId xmlns:a16="http://schemas.microsoft.com/office/drawing/2014/main" id="{00000000-0008-0000-0000-000066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58126" y="1933575"/>
          <a:ext cx="1647824" cy="6127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57150</xdr:colOff>
      <xdr:row>5</xdr:row>
      <xdr:rowOff>38099</xdr:rowOff>
    </xdr:from>
    <xdr:to>
      <xdr:col>2</xdr:col>
      <xdr:colOff>1571625</xdr:colOff>
      <xdr:row>6</xdr:row>
      <xdr:rowOff>2964</xdr:rowOff>
    </xdr:to>
    <xdr:pic>
      <xdr:nvPicPr>
        <xdr:cNvPr id="103" name="Picture 102">
          <a:extLst>
            <a:ext uri="{FF2B5EF4-FFF2-40B4-BE49-F238E27FC236}">
              <a16:creationId xmlns:a16="http://schemas.microsoft.com/office/drawing/2014/main" id="{00000000-0008-0000-0000-000067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219575" y="1381124"/>
          <a:ext cx="1323975" cy="736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57150</xdr:colOff>
      <xdr:row>5</xdr:row>
      <xdr:rowOff>38099</xdr:rowOff>
    </xdr:from>
    <xdr:to>
      <xdr:col>2</xdr:col>
      <xdr:colOff>1571625</xdr:colOff>
      <xdr:row>6</xdr:row>
      <xdr:rowOff>2964</xdr:rowOff>
    </xdr:to>
    <xdr:pic>
      <xdr:nvPicPr>
        <xdr:cNvPr id="104" name="Picture 103">
          <a:extLst>
            <a:ext uri="{FF2B5EF4-FFF2-40B4-BE49-F238E27FC236}">
              <a16:creationId xmlns:a16="http://schemas.microsoft.com/office/drawing/2014/main" id="{00000000-0008-0000-0000-000068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219575" y="1381124"/>
          <a:ext cx="1323975" cy="736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57150</xdr:colOff>
      <xdr:row>5</xdr:row>
      <xdr:rowOff>38099</xdr:rowOff>
    </xdr:from>
    <xdr:to>
      <xdr:col>2</xdr:col>
      <xdr:colOff>1571625</xdr:colOff>
      <xdr:row>6</xdr:row>
      <xdr:rowOff>2964</xdr:rowOff>
    </xdr:to>
    <xdr:pic>
      <xdr:nvPicPr>
        <xdr:cNvPr id="105" name="Picture 104">
          <a:extLst>
            <a:ext uri="{FF2B5EF4-FFF2-40B4-BE49-F238E27FC236}">
              <a16:creationId xmlns:a16="http://schemas.microsoft.com/office/drawing/2014/main" id="{00000000-0008-0000-0000-00006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219575" y="1381124"/>
          <a:ext cx="1323975" cy="736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38100</xdr:colOff>
      <xdr:row>6</xdr:row>
      <xdr:rowOff>0</xdr:rowOff>
    </xdr:from>
    <xdr:to>
      <xdr:col>2</xdr:col>
      <xdr:colOff>1767840</xdr:colOff>
      <xdr:row>6</xdr:row>
      <xdr:rowOff>833545</xdr:rowOff>
    </xdr:to>
    <xdr:pic>
      <xdr:nvPicPr>
        <xdr:cNvPr id="106" name="Picture 105">
          <a:extLst>
            <a:ext uri="{FF2B5EF4-FFF2-40B4-BE49-F238E27FC236}">
              <a16:creationId xmlns:a16="http://schemas.microsoft.com/office/drawing/2014/main" id="{00000000-0008-0000-0000-00006A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200525" y="2114550"/>
          <a:ext cx="1339215" cy="766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6</xdr:row>
      <xdr:rowOff>30480</xdr:rowOff>
    </xdr:from>
    <xdr:to>
      <xdr:col>5</xdr:col>
      <xdr:colOff>0</xdr:colOff>
      <xdr:row>7</xdr:row>
      <xdr:rowOff>4693</xdr:rowOff>
    </xdr:to>
    <xdr:pic>
      <xdr:nvPicPr>
        <xdr:cNvPr id="107" name="Picture 106">
          <a:extLst>
            <a:ext uri="{FF2B5EF4-FFF2-40B4-BE49-F238E27FC236}">
              <a16:creationId xmlns:a16="http://schemas.microsoft.com/office/drawing/2014/main" id="{00000000-0008-0000-0000-00006B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191375" y="2145030"/>
          <a:ext cx="1476375" cy="745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38100</xdr:colOff>
      <xdr:row>6</xdr:row>
      <xdr:rowOff>0</xdr:rowOff>
    </xdr:from>
    <xdr:to>
      <xdr:col>2</xdr:col>
      <xdr:colOff>1767840</xdr:colOff>
      <xdr:row>6</xdr:row>
      <xdr:rowOff>833545</xdr:rowOff>
    </xdr:to>
    <xdr:pic>
      <xdr:nvPicPr>
        <xdr:cNvPr id="108" name="Picture 107">
          <a:extLst>
            <a:ext uri="{FF2B5EF4-FFF2-40B4-BE49-F238E27FC236}">
              <a16:creationId xmlns:a16="http://schemas.microsoft.com/office/drawing/2014/main" id="{00000000-0008-0000-0000-00006C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200525" y="2114550"/>
          <a:ext cx="1339215" cy="766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7</xdr:row>
      <xdr:rowOff>19049</xdr:rowOff>
    </xdr:from>
    <xdr:to>
      <xdr:col>3</xdr:col>
      <xdr:colOff>9525</xdr:colOff>
      <xdr:row>7</xdr:row>
      <xdr:rowOff>933450</xdr:rowOff>
    </xdr:to>
    <xdr:pic>
      <xdr:nvPicPr>
        <xdr:cNvPr id="109" name="Picture 108">
          <a:extLst>
            <a:ext uri="{FF2B5EF4-FFF2-40B4-BE49-F238E27FC236}">
              <a16:creationId xmlns:a16="http://schemas.microsoft.com/office/drawing/2014/main" id="{00000000-0008-0000-0000-00006D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162425" y="2905124"/>
          <a:ext cx="1390650" cy="7524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7</xdr:row>
      <xdr:rowOff>19049</xdr:rowOff>
    </xdr:from>
    <xdr:to>
      <xdr:col>3</xdr:col>
      <xdr:colOff>9525</xdr:colOff>
      <xdr:row>7</xdr:row>
      <xdr:rowOff>933450</xdr:rowOff>
    </xdr:to>
    <xdr:pic>
      <xdr:nvPicPr>
        <xdr:cNvPr id="110" name="Picture 109">
          <a:extLst>
            <a:ext uri="{FF2B5EF4-FFF2-40B4-BE49-F238E27FC236}">
              <a16:creationId xmlns:a16="http://schemas.microsoft.com/office/drawing/2014/main" id="{00000000-0008-0000-0000-00006E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162425" y="2905124"/>
          <a:ext cx="1390650" cy="7524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7</xdr:row>
      <xdr:rowOff>19049</xdr:rowOff>
    </xdr:from>
    <xdr:to>
      <xdr:col>4</xdr:col>
      <xdr:colOff>1714500</xdr:colOff>
      <xdr:row>8</xdr:row>
      <xdr:rowOff>2787</xdr:rowOff>
    </xdr:to>
    <xdr:pic>
      <xdr:nvPicPr>
        <xdr:cNvPr id="111" name="Picture 110">
          <a:extLst>
            <a:ext uri="{FF2B5EF4-FFF2-40B4-BE49-F238E27FC236}">
              <a16:creationId xmlns:a16="http://schemas.microsoft.com/office/drawing/2014/main" id="{00000000-0008-0000-0000-00006F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800975" y="3209924"/>
          <a:ext cx="1714500" cy="6885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6</xdr:row>
      <xdr:rowOff>30480</xdr:rowOff>
    </xdr:from>
    <xdr:to>
      <xdr:col>5</xdr:col>
      <xdr:colOff>0</xdr:colOff>
      <xdr:row>7</xdr:row>
      <xdr:rowOff>4693</xdr:rowOff>
    </xdr:to>
    <xdr:pic>
      <xdr:nvPicPr>
        <xdr:cNvPr id="112" name="Picture 111">
          <a:extLst>
            <a:ext uri="{FF2B5EF4-FFF2-40B4-BE49-F238E27FC236}">
              <a16:creationId xmlns:a16="http://schemas.microsoft.com/office/drawing/2014/main" id="{00000000-0008-0000-0000-000070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191375" y="2145030"/>
          <a:ext cx="1476375" cy="745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8</xdr:row>
      <xdr:rowOff>0</xdr:rowOff>
    </xdr:from>
    <xdr:to>
      <xdr:col>3</xdr:col>
      <xdr:colOff>0</xdr:colOff>
      <xdr:row>8</xdr:row>
      <xdr:rowOff>1009650</xdr:rowOff>
    </xdr:to>
    <xdr:pic>
      <xdr:nvPicPr>
        <xdr:cNvPr id="113" name="Picture 112">
          <a:extLst>
            <a:ext uri="{FF2B5EF4-FFF2-40B4-BE49-F238E27FC236}">
              <a16:creationId xmlns:a16="http://schemas.microsoft.com/office/drawing/2014/main" id="{00000000-0008-0000-0000-000071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162425" y="3657600"/>
          <a:ext cx="138112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8</xdr:row>
      <xdr:rowOff>0</xdr:rowOff>
    </xdr:from>
    <xdr:to>
      <xdr:col>5</xdr:col>
      <xdr:colOff>0</xdr:colOff>
      <xdr:row>8</xdr:row>
      <xdr:rowOff>1009650</xdr:rowOff>
    </xdr:to>
    <xdr:pic>
      <xdr:nvPicPr>
        <xdr:cNvPr id="114" name="Picture 113">
          <a:extLst>
            <a:ext uri="{FF2B5EF4-FFF2-40B4-BE49-F238E27FC236}">
              <a16:creationId xmlns:a16="http://schemas.microsoft.com/office/drawing/2014/main" id="{00000000-0008-0000-0000-000072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191375" y="3657600"/>
          <a:ext cx="147637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9</xdr:row>
      <xdr:rowOff>0</xdr:rowOff>
    </xdr:from>
    <xdr:to>
      <xdr:col>2</xdr:col>
      <xdr:colOff>1714500</xdr:colOff>
      <xdr:row>10</xdr:row>
      <xdr:rowOff>0</xdr:rowOff>
    </xdr:to>
    <xdr:pic>
      <xdr:nvPicPr>
        <xdr:cNvPr id="115" name="Picture 114">
          <a:extLst>
            <a:ext uri="{FF2B5EF4-FFF2-40B4-BE49-F238E27FC236}">
              <a16:creationId xmlns:a16="http://schemas.microsoft.com/office/drawing/2014/main" id="{00000000-0008-0000-0000-000073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162425" y="4429125"/>
          <a:ext cx="138112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9</xdr:row>
      <xdr:rowOff>0</xdr:rowOff>
    </xdr:from>
    <xdr:to>
      <xdr:col>4</xdr:col>
      <xdr:colOff>1714500</xdr:colOff>
      <xdr:row>10</xdr:row>
      <xdr:rowOff>0</xdr:rowOff>
    </xdr:to>
    <xdr:pic>
      <xdr:nvPicPr>
        <xdr:cNvPr id="116" name="Picture 115">
          <a:extLst>
            <a:ext uri="{FF2B5EF4-FFF2-40B4-BE49-F238E27FC236}">
              <a16:creationId xmlns:a16="http://schemas.microsoft.com/office/drawing/2014/main" id="{00000000-0008-0000-0000-000074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7191375" y="4429125"/>
          <a:ext cx="147637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10</xdr:row>
      <xdr:rowOff>40085</xdr:rowOff>
    </xdr:from>
    <xdr:to>
      <xdr:col>3</xdr:col>
      <xdr:colOff>1905</xdr:colOff>
      <xdr:row>10</xdr:row>
      <xdr:rowOff>695325</xdr:rowOff>
    </xdr:to>
    <xdr:pic>
      <xdr:nvPicPr>
        <xdr:cNvPr id="117" name="Picture 116">
          <a:extLst>
            <a:ext uri="{FF2B5EF4-FFF2-40B4-BE49-F238E27FC236}">
              <a16:creationId xmlns:a16="http://schemas.microsoft.com/office/drawing/2014/main" id="{00000000-0008-0000-0000-000075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267200" y="5240735"/>
          <a:ext cx="1278255" cy="65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10</xdr:row>
      <xdr:rowOff>0</xdr:rowOff>
    </xdr:from>
    <xdr:to>
      <xdr:col>4</xdr:col>
      <xdr:colOff>1515341</xdr:colOff>
      <xdr:row>10</xdr:row>
      <xdr:rowOff>722679</xdr:rowOff>
    </xdr:to>
    <xdr:pic>
      <xdr:nvPicPr>
        <xdr:cNvPr id="118" name="Picture 117">
          <a:extLst>
            <a:ext uri="{FF2B5EF4-FFF2-40B4-BE49-F238E27FC236}">
              <a16:creationId xmlns:a16="http://schemas.microsoft.com/office/drawing/2014/main" id="{00000000-0008-0000-0000-000076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7191375" y="5200650"/>
          <a:ext cx="1477241" cy="722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85726</xdr:colOff>
      <xdr:row>12</xdr:row>
      <xdr:rowOff>19050</xdr:rowOff>
    </xdr:from>
    <xdr:to>
      <xdr:col>3</xdr:col>
      <xdr:colOff>61395</xdr:colOff>
      <xdr:row>12</xdr:row>
      <xdr:rowOff>866775</xdr:rowOff>
    </xdr:to>
    <xdr:pic>
      <xdr:nvPicPr>
        <xdr:cNvPr id="119" name="Picture 118">
          <a:extLst>
            <a:ext uri="{FF2B5EF4-FFF2-40B4-BE49-F238E27FC236}">
              <a16:creationId xmlns:a16="http://schemas.microsoft.com/office/drawing/2014/main" id="{00000000-0008-0000-0000-000077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4248151" y="7267575"/>
          <a:ext cx="1890194"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xdr:colOff>
      <xdr:row>12</xdr:row>
      <xdr:rowOff>38098</xdr:rowOff>
    </xdr:from>
    <xdr:to>
      <xdr:col>4</xdr:col>
      <xdr:colOff>1743935</xdr:colOff>
      <xdr:row>12</xdr:row>
      <xdr:rowOff>895349</xdr:rowOff>
    </xdr:to>
    <xdr:pic>
      <xdr:nvPicPr>
        <xdr:cNvPr id="120" name="Picture 119">
          <a:extLst>
            <a:ext uri="{FF2B5EF4-FFF2-40B4-BE49-F238E27FC236}">
              <a16:creationId xmlns:a16="http://schemas.microsoft.com/office/drawing/2014/main" id="{00000000-0008-0000-0000-000078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7858125" y="7286623"/>
          <a:ext cx="1686785" cy="8572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97155</xdr:colOff>
      <xdr:row>12</xdr:row>
      <xdr:rowOff>941069</xdr:rowOff>
    </xdr:from>
    <xdr:to>
      <xdr:col>2</xdr:col>
      <xdr:colOff>1771650</xdr:colOff>
      <xdr:row>14</xdr:row>
      <xdr:rowOff>1059</xdr:rowOff>
    </xdr:to>
    <xdr:pic>
      <xdr:nvPicPr>
        <xdr:cNvPr id="121" name="Picture 120">
          <a:extLst>
            <a:ext uri="{FF2B5EF4-FFF2-40B4-BE49-F238E27FC236}">
              <a16:creationId xmlns:a16="http://schemas.microsoft.com/office/drawing/2014/main" id="{00000000-0008-0000-0000-0000790000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4259580" y="7475219"/>
          <a:ext cx="1674495" cy="8221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7620</xdr:colOff>
      <xdr:row>13</xdr:row>
      <xdr:rowOff>7620</xdr:rowOff>
    </xdr:from>
    <xdr:to>
      <xdr:col>5</xdr:col>
      <xdr:colOff>7620</xdr:colOff>
      <xdr:row>13</xdr:row>
      <xdr:rowOff>705733</xdr:rowOff>
    </xdr:to>
    <xdr:pic>
      <xdr:nvPicPr>
        <xdr:cNvPr id="122" name="Picture 121">
          <a:extLst>
            <a:ext uri="{FF2B5EF4-FFF2-40B4-BE49-F238E27FC236}">
              <a16:creationId xmlns:a16="http://schemas.microsoft.com/office/drawing/2014/main" id="{00000000-0008-0000-0000-00007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98995" y="7522845"/>
          <a:ext cx="1476375" cy="6981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14</xdr:row>
      <xdr:rowOff>19048</xdr:rowOff>
    </xdr:from>
    <xdr:to>
      <xdr:col>4</xdr:col>
      <xdr:colOff>1767436</xdr:colOff>
      <xdr:row>15</xdr:row>
      <xdr:rowOff>9524</xdr:rowOff>
    </xdr:to>
    <xdr:pic>
      <xdr:nvPicPr>
        <xdr:cNvPr id="123" name="Picture 122">
          <a:extLst>
            <a:ext uri="{FF2B5EF4-FFF2-40B4-BE49-F238E27FC236}">
              <a16:creationId xmlns:a16="http://schemas.microsoft.com/office/drawing/2014/main" id="{00000000-0008-0000-0000-00007B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800975" y="9029698"/>
          <a:ext cx="1767436" cy="914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15</xdr:row>
      <xdr:rowOff>0</xdr:rowOff>
    </xdr:from>
    <xdr:to>
      <xdr:col>5</xdr:col>
      <xdr:colOff>0</xdr:colOff>
      <xdr:row>16</xdr:row>
      <xdr:rowOff>0</xdr:rowOff>
    </xdr:to>
    <xdr:pic>
      <xdr:nvPicPr>
        <xdr:cNvPr id="124" name="Picture 123">
          <a:extLst>
            <a:ext uri="{FF2B5EF4-FFF2-40B4-BE49-F238E27FC236}">
              <a16:creationId xmlns:a16="http://schemas.microsoft.com/office/drawing/2014/main" id="{00000000-0008-0000-0000-00007C000000}"/>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7191375" y="9058275"/>
          <a:ext cx="147637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16</xdr:row>
      <xdr:rowOff>0</xdr:rowOff>
    </xdr:from>
    <xdr:to>
      <xdr:col>4</xdr:col>
      <xdr:colOff>1714500</xdr:colOff>
      <xdr:row>16</xdr:row>
      <xdr:rowOff>838200</xdr:rowOff>
    </xdr:to>
    <xdr:pic>
      <xdr:nvPicPr>
        <xdr:cNvPr id="125" name="Picture 124">
          <a:extLst>
            <a:ext uri="{FF2B5EF4-FFF2-40B4-BE49-F238E27FC236}">
              <a16:creationId xmlns:a16="http://schemas.microsoft.com/office/drawing/2014/main" id="{00000000-0008-0000-0000-00007D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7191375" y="9829800"/>
          <a:ext cx="147637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53339</xdr:colOff>
      <xdr:row>17</xdr:row>
      <xdr:rowOff>38100</xdr:rowOff>
    </xdr:from>
    <xdr:to>
      <xdr:col>4</xdr:col>
      <xdr:colOff>1781174</xdr:colOff>
      <xdr:row>17</xdr:row>
      <xdr:rowOff>819150</xdr:rowOff>
    </xdr:to>
    <xdr:pic>
      <xdr:nvPicPr>
        <xdr:cNvPr id="126" name="Picture 125">
          <a:extLst>
            <a:ext uri="{FF2B5EF4-FFF2-40B4-BE49-F238E27FC236}">
              <a16:creationId xmlns:a16="http://schemas.microsoft.com/office/drawing/2014/main" id="{00000000-0008-0000-0000-00007E00000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7854314" y="11734800"/>
          <a:ext cx="1727835"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18</xdr:row>
      <xdr:rowOff>0</xdr:rowOff>
    </xdr:from>
    <xdr:to>
      <xdr:col>2</xdr:col>
      <xdr:colOff>1666876</xdr:colOff>
      <xdr:row>19</xdr:row>
      <xdr:rowOff>0</xdr:rowOff>
    </xdr:to>
    <xdr:pic>
      <xdr:nvPicPr>
        <xdr:cNvPr id="127" name="Picture 3">
          <a:extLst>
            <a:ext uri="{FF2B5EF4-FFF2-40B4-BE49-F238E27FC236}">
              <a16:creationId xmlns:a16="http://schemas.microsoft.com/office/drawing/2014/main" id="{00000000-0008-0000-0000-00007F000000}"/>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4162425" y="11372850"/>
          <a:ext cx="1381126"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18</xdr:row>
      <xdr:rowOff>0</xdr:rowOff>
    </xdr:from>
    <xdr:to>
      <xdr:col>4</xdr:col>
      <xdr:colOff>1524000</xdr:colOff>
      <xdr:row>19</xdr:row>
      <xdr:rowOff>1697</xdr:rowOff>
    </xdr:to>
    <xdr:pic>
      <xdr:nvPicPr>
        <xdr:cNvPr id="128" name="Picture 3">
          <a:extLst>
            <a:ext uri="{FF2B5EF4-FFF2-40B4-BE49-F238E27FC236}">
              <a16:creationId xmlns:a16="http://schemas.microsoft.com/office/drawing/2014/main" id="{00000000-0008-0000-0000-00008000000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7191375" y="11372850"/>
          <a:ext cx="1476375" cy="7732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47623</xdr:colOff>
      <xdr:row>19</xdr:row>
      <xdr:rowOff>1</xdr:rowOff>
    </xdr:from>
    <xdr:to>
      <xdr:col>2</xdr:col>
      <xdr:colOff>1889960</xdr:colOff>
      <xdr:row>19</xdr:row>
      <xdr:rowOff>800101</xdr:rowOff>
    </xdr:to>
    <xdr:pic>
      <xdr:nvPicPr>
        <xdr:cNvPr id="129" name="Picture 3">
          <a:extLst>
            <a:ext uri="{FF2B5EF4-FFF2-40B4-BE49-F238E27FC236}">
              <a16:creationId xmlns:a16="http://schemas.microsoft.com/office/drawing/2014/main" id="{00000000-0008-0000-0000-000081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4210048" y="13392151"/>
          <a:ext cx="1842337"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xdr:colOff>
      <xdr:row>19</xdr:row>
      <xdr:rowOff>0</xdr:rowOff>
    </xdr:from>
    <xdr:to>
      <xdr:col>4</xdr:col>
      <xdr:colOff>1666875</xdr:colOff>
      <xdr:row>20</xdr:row>
      <xdr:rowOff>0</xdr:rowOff>
    </xdr:to>
    <xdr:pic>
      <xdr:nvPicPr>
        <xdr:cNvPr id="130" name="Picture 3">
          <a:extLst>
            <a:ext uri="{FF2B5EF4-FFF2-40B4-BE49-F238E27FC236}">
              <a16:creationId xmlns:a16="http://schemas.microsoft.com/office/drawing/2014/main" id="{00000000-0008-0000-0000-00008200000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7800976" y="13392150"/>
          <a:ext cx="16668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18</xdr:row>
      <xdr:rowOff>0</xdr:rowOff>
    </xdr:from>
    <xdr:to>
      <xdr:col>4</xdr:col>
      <xdr:colOff>1524000</xdr:colOff>
      <xdr:row>19</xdr:row>
      <xdr:rowOff>1697</xdr:rowOff>
    </xdr:to>
    <xdr:pic>
      <xdr:nvPicPr>
        <xdr:cNvPr id="131" name="Picture 3">
          <a:extLst>
            <a:ext uri="{FF2B5EF4-FFF2-40B4-BE49-F238E27FC236}">
              <a16:creationId xmlns:a16="http://schemas.microsoft.com/office/drawing/2014/main" id="{00000000-0008-0000-0000-00008300000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7191375" y="11372850"/>
          <a:ext cx="1476375" cy="7732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123824</xdr:colOff>
      <xdr:row>19</xdr:row>
      <xdr:rowOff>895349</xdr:rowOff>
    </xdr:from>
    <xdr:to>
      <xdr:col>2</xdr:col>
      <xdr:colOff>1695449</xdr:colOff>
      <xdr:row>20</xdr:row>
      <xdr:rowOff>847724</xdr:rowOff>
    </xdr:to>
    <xdr:pic>
      <xdr:nvPicPr>
        <xdr:cNvPr id="132" name="Picture 131">
          <a:extLst>
            <a:ext uri="{FF2B5EF4-FFF2-40B4-BE49-F238E27FC236}">
              <a16:creationId xmlns:a16="http://schemas.microsoft.com/office/drawing/2014/main" id="{00000000-0008-0000-0000-000084000000}"/>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4286249" y="14287499"/>
          <a:ext cx="157162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20</xdr:row>
      <xdr:rowOff>0</xdr:rowOff>
    </xdr:from>
    <xdr:to>
      <xdr:col>4</xdr:col>
      <xdr:colOff>1746411</xdr:colOff>
      <xdr:row>20</xdr:row>
      <xdr:rowOff>800099</xdr:rowOff>
    </xdr:to>
    <xdr:pic>
      <xdr:nvPicPr>
        <xdr:cNvPr id="133" name="Picture 132">
          <a:extLst>
            <a:ext uri="{FF2B5EF4-FFF2-40B4-BE49-F238E27FC236}">
              <a16:creationId xmlns:a16="http://schemas.microsoft.com/office/drawing/2014/main" id="{00000000-0008-0000-0000-000085000000}"/>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7800975" y="14287500"/>
          <a:ext cx="1746411" cy="800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104774</xdr:colOff>
      <xdr:row>21</xdr:row>
      <xdr:rowOff>0</xdr:rowOff>
    </xdr:from>
    <xdr:to>
      <xdr:col>2</xdr:col>
      <xdr:colOff>1714499</xdr:colOff>
      <xdr:row>21</xdr:row>
      <xdr:rowOff>733425</xdr:rowOff>
    </xdr:to>
    <xdr:pic>
      <xdr:nvPicPr>
        <xdr:cNvPr id="134" name="Picture 133">
          <a:extLst>
            <a:ext uri="{FF2B5EF4-FFF2-40B4-BE49-F238E27FC236}">
              <a16:creationId xmlns:a16="http://schemas.microsoft.com/office/drawing/2014/main" id="{00000000-0008-0000-0000-000086000000}"/>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4267199" y="13687425"/>
          <a:ext cx="12763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xdr:colOff>
      <xdr:row>21</xdr:row>
      <xdr:rowOff>1</xdr:rowOff>
    </xdr:from>
    <xdr:to>
      <xdr:col>4</xdr:col>
      <xdr:colOff>1543051</xdr:colOff>
      <xdr:row>21</xdr:row>
      <xdr:rowOff>723901</xdr:rowOff>
    </xdr:to>
    <xdr:pic>
      <xdr:nvPicPr>
        <xdr:cNvPr id="135" name="Picture 134">
          <a:extLst>
            <a:ext uri="{FF2B5EF4-FFF2-40B4-BE49-F238E27FC236}">
              <a16:creationId xmlns:a16="http://schemas.microsoft.com/office/drawing/2014/main" id="{00000000-0008-0000-0000-00008700000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7191376" y="13687426"/>
          <a:ext cx="147637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104774</xdr:colOff>
      <xdr:row>21</xdr:row>
      <xdr:rowOff>0</xdr:rowOff>
    </xdr:from>
    <xdr:to>
      <xdr:col>2</xdr:col>
      <xdr:colOff>1714499</xdr:colOff>
      <xdr:row>21</xdr:row>
      <xdr:rowOff>733425</xdr:rowOff>
    </xdr:to>
    <xdr:pic>
      <xdr:nvPicPr>
        <xdr:cNvPr id="136" name="Picture 135">
          <a:extLst>
            <a:ext uri="{FF2B5EF4-FFF2-40B4-BE49-F238E27FC236}">
              <a16:creationId xmlns:a16="http://schemas.microsoft.com/office/drawing/2014/main" id="{00000000-0008-0000-0000-000088000000}"/>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4267199" y="13687425"/>
          <a:ext cx="12763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xdr:colOff>
      <xdr:row>21</xdr:row>
      <xdr:rowOff>1</xdr:rowOff>
    </xdr:from>
    <xdr:to>
      <xdr:col>4</xdr:col>
      <xdr:colOff>1543051</xdr:colOff>
      <xdr:row>21</xdr:row>
      <xdr:rowOff>723901</xdr:rowOff>
    </xdr:to>
    <xdr:pic>
      <xdr:nvPicPr>
        <xdr:cNvPr id="137" name="Picture 136">
          <a:extLst>
            <a:ext uri="{FF2B5EF4-FFF2-40B4-BE49-F238E27FC236}">
              <a16:creationId xmlns:a16="http://schemas.microsoft.com/office/drawing/2014/main" id="{00000000-0008-0000-0000-00008900000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7191376" y="13687426"/>
          <a:ext cx="147637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15877</xdr:colOff>
      <xdr:row>22</xdr:row>
      <xdr:rowOff>2</xdr:rowOff>
    </xdr:from>
    <xdr:to>
      <xdr:col>3</xdr:col>
      <xdr:colOff>0</xdr:colOff>
      <xdr:row>22</xdr:row>
      <xdr:rowOff>1028700</xdr:rowOff>
    </xdr:to>
    <xdr:pic>
      <xdr:nvPicPr>
        <xdr:cNvPr id="138" name="Picture 137">
          <a:extLst>
            <a:ext uri="{FF2B5EF4-FFF2-40B4-BE49-F238E27FC236}">
              <a16:creationId xmlns:a16="http://schemas.microsoft.com/office/drawing/2014/main" id="{00000000-0008-0000-0000-00008A000000}"/>
            </a:ext>
          </a:extLst>
        </xdr:cNvPr>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4178302" y="15925802"/>
          <a:ext cx="1898648" cy="1028698"/>
        </a:xfrm>
        <a:prstGeom prst="rect">
          <a:avLst/>
        </a:prstGeom>
        <a:noFill/>
        <a:ln>
          <a:noFill/>
        </a:ln>
      </xdr:spPr>
    </xdr:pic>
    <xdr:clientData/>
  </xdr:twoCellAnchor>
  <xdr:twoCellAnchor editAs="oneCell">
    <xdr:from>
      <xdr:col>4</xdr:col>
      <xdr:colOff>19050</xdr:colOff>
      <xdr:row>22</xdr:row>
      <xdr:rowOff>2</xdr:rowOff>
    </xdr:from>
    <xdr:to>
      <xdr:col>4</xdr:col>
      <xdr:colOff>1704975</xdr:colOff>
      <xdr:row>22</xdr:row>
      <xdr:rowOff>1094430</xdr:rowOff>
    </xdr:to>
    <xdr:pic>
      <xdr:nvPicPr>
        <xdr:cNvPr id="139" name="Picture 138">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29"/>
        <a:stretch>
          <a:fillRect/>
        </a:stretch>
      </xdr:blipFill>
      <xdr:spPr>
        <a:xfrm>
          <a:off x="7820025" y="15925802"/>
          <a:ext cx="1685925" cy="1094428"/>
        </a:xfrm>
        <a:prstGeom prst="rect">
          <a:avLst/>
        </a:prstGeom>
      </xdr:spPr>
    </xdr:pic>
    <xdr:clientData/>
  </xdr:twoCellAnchor>
  <xdr:twoCellAnchor>
    <xdr:from>
      <xdr:col>2</xdr:col>
      <xdr:colOff>57150</xdr:colOff>
      <xdr:row>23</xdr:row>
      <xdr:rowOff>0</xdr:rowOff>
    </xdr:from>
    <xdr:to>
      <xdr:col>2</xdr:col>
      <xdr:colOff>1695450</xdr:colOff>
      <xdr:row>23</xdr:row>
      <xdr:rowOff>723900</xdr:rowOff>
    </xdr:to>
    <xdr:pic>
      <xdr:nvPicPr>
        <xdr:cNvPr id="140" name="Picture 139">
          <a:extLst>
            <a:ext uri="{FF2B5EF4-FFF2-40B4-BE49-F238E27FC236}">
              <a16:creationId xmlns:a16="http://schemas.microsoft.com/office/drawing/2014/main" id="{00000000-0008-0000-0000-00008C000000}"/>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4219575" y="15230475"/>
          <a:ext cx="132397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23</xdr:row>
      <xdr:rowOff>0</xdr:rowOff>
    </xdr:from>
    <xdr:to>
      <xdr:col>4</xdr:col>
      <xdr:colOff>1466850</xdr:colOff>
      <xdr:row>24</xdr:row>
      <xdr:rowOff>0</xdr:rowOff>
    </xdr:to>
    <xdr:pic>
      <xdr:nvPicPr>
        <xdr:cNvPr id="141" name="Picture 140">
          <a:extLst>
            <a:ext uri="{FF2B5EF4-FFF2-40B4-BE49-F238E27FC236}">
              <a16:creationId xmlns:a16="http://schemas.microsoft.com/office/drawing/2014/main" id="{00000000-0008-0000-0000-00008D000000}"/>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7191375" y="15230475"/>
          <a:ext cx="146685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66673</xdr:colOff>
      <xdr:row>24</xdr:row>
      <xdr:rowOff>0</xdr:rowOff>
    </xdr:from>
    <xdr:to>
      <xdr:col>2</xdr:col>
      <xdr:colOff>1857374</xdr:colOff>
      <xdr:row>24</xdr:row>
      <xdr:rowOff>762000</xdr:rowOff>
    </xdr:to>
    <xdr:pic>
      <xdr:nvPicPr>
        <xdr:cNvPr id="142" name="Picture 141">
          <a:extLst>
            <a:ext uri="{FF2B5EF4-FFF2-40B4-BE49-F238E27FC236}">
              <a16:creationId xmlns:a16="http://schemas.microsoft.com/office/drawing/2014/main" id="{00000000-0008-0000-0000-00008E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4229098" y="17868900"/>
          <a:ext cx="1790701"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24</xdr:row>
      <xdr:rowOff>0</xdr:rowOff>
    </xdr:from>
    <xdr:to>
      <xdr:col>4</xdr:col>
      <xdr:colOff>1771650</xdr:colOff>
      <xdr:row>25</xdr:row>
      <xdr:rowOff>0</xdr:rowOff>
    </xdr:to>
    <xdr:pic>
      <xdr:nvPicPr>
        <xdr:cNvPr id="143" name="Picture 142">
          <a:extLst>
            <a:ext uri="{FF2B5EF4-FFF2-40B4-BE49-F238E27FC236}">
              <a16:creationId xmlns:a16="http://schemas.microsoft.com/office/drawing/2014/main" id="{00000000-0008-0000-0000-00008F000000}"/>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7800975" y="17868900"/>
          <a:ext cx="17716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38099</xdr:colOff>
      <xdr:row>25</xdr:row>
      <xdr:rowOff>0</xdr:rowOff>
    </xdr:from>
    <xdr:to>
      <xdr:col>2</xdr:col>
      <xdr:colOff>1685924</xdr:colOff>
      <xdr:row>25</xdr:row>
      <xdr:rowOff>714375</xdr:rowOff>
    </xdr:to>
    <xdr:pic>
      <xdr:nvPicPr>
        <xdr:cNvPr id="144" name="Picture 143">
          <a:extLst>
            <a:ext uri="{FF2B5EF4-FFF2-40B4-BE49-F238E27FC236}">
              <a16:creationId xmlns:a16="http://schemas.microsoft.com/office/drawing/2014/main" id="{00000000-0008-0000-0000-000090000000}"/>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4200524" y="16773525"/>
          <a:ext cx="13430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25</xdr:row>
      <xdr:rowOff>0</xdr:rowOff>
    </xdr:from>
    <xdr:to>
      <xdr:col>4</xdr:col>
      <xdr:colOff>1504950</xdr:colOff>
      <xdr:row>26</xdr:row>
      <xdr:rowOff>0</xdr:rowOff>
    </xdr:to>
    <xdr:pic>
      <xdr:nvPicPr>
        <xdr:cNvPr id="145" name="Picture 144">
          <a:extLst>
            <a:ext uri="{FF2B5EF4-FFF2-40B4-BE49-F238E27FC236}">
              <a16:creationId xmlns:a16="http://schemas.microsoft.com/office/drawing/2014/main" id="{00000000-0008-0000-0000-000091000000}"/>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7191375" y="16773525"/>
          <a:ext cx="147637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30481</xdr:colOff>
      <xdr:row>26</xdr:row>
      <xdr:rowOff>0</xdr:rowOff>
    </xdr:from>
    <xdr:to>
      <xdr:col>3</xdr:col>
      <xdr:colOff>1905</xdr:colOff>
      <xdr:row>27</xdr:row>
      <xdr:rowOff>22860</xdr:rowOff>
    </xdr:to>
    <xdr:pic>
      <xdr:nvPicPr>
        <xdr:cNvPr id="146" name="Picture 145">
          <a:extLst>
            <a:ext uri="{FF2B5EF4-FFF2-40B4-BE49-F238E27FC236}">
              <a16:creationId xmlns:a16="http://schemas.microsoft.com/office/drawing/2014/main" id="{00000000-0008-0000-0000-000092000000}"/>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4192906" y="17545050"/>
          <a:ext cx="1352549" cy="794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133349</xdr:colOff>
      <xdr:row>26</xdr:row>
      <xdr:rowOff>0</xdr:rowOff>
    </xdr:from>
    <xdr:to>
      <xdr:col>4</xdr:col>
      <xdr:colOff>1685924</xdr:colOff>
      <xdr:row>27</xdr:row>
      <xdr:rowOff>0</xdr:rowOff>
    </xdr:to>
    <xdr:pic>
      <xdr:nvPicPr>
        <xdr:cNvPr id="147" name="Picture 146">
          <a:extLst>
            <a:ext uri="{FF2B5EF4-FFF2-40B4-BE49-F238E27FC236}">
              <a16:creationId xmlns:a16="http://schemas.microsoft.com/office/drawing/2014/main" id="{00000000-0008-0000-0000-000093000000}"/>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7324724" y="17545050"/>
          <a:ext cx="134302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30481</xdr:colOff>
      <xdr:row>26</xdr:row>
      <xdr:rowOff>0</xdr:rowOff>
    </xdr:from>
    <xdr:to>
      <xdr:col>3</xdr:col>
      <xdr:colOff>1905</xdr:colOff>
      <xdr:row>27</xdr:row>
      <xdr:rowOff>22860</xdr:rowOff>
    </xdr:to>
    <xdr:pic>
      <xdr:nvPicPr>
        <xdr:cNvPr id="148" name="Picture 147">
          <a:extLst>
            <a:ext uri="{FF2B5EF4-FFF2-40B4-BE49-F238E27FC236}">
              <a16:creationId xmlns:a16="http://schemas.microsoft.com/office/drawing/2014/main" id="{00000000-0008-0000-0000-000094000000}"/>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4192906" y="17545050"/>
          <a:ext cx="1352549" cy="794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95249</xdr:colOff>
      <xdr:row>27</xdr:row>
      <xdr:rowOff>15240</xdr:rowOff>
    </xdr:from>
    <xdr:to>
      <xdr:col>2</xdr:col>
      <xdr:colOff>1876424</xdr:colOff>
      <xdr:row>28</xdr:row>
      <xdr:rowOff>0</xdr:rowOff>
    </xdr:to>
    <xdr:pic>
      <xdr:nvPicPr>
        <xdr:cNvPr id="149" name="Picture 148">
          <a:extLst>
            <a:ext uri="{FF2B5EF4-FFF2-40B4-BE49-F238E27FC236}">
              <a16:creationId xmlns:a16="http://schemas.microsoft.com/office/drawing/2014/main" id="{00000000-0008-0000-0000-000095000000}"/>
            </a:ext>
          </a:extLst>
        </xdr:cNvPr>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a:stretch>
          <a:fillRect/>
        </a:stretch>
      </xdr:blipFill>
      <xdr:spPr bwMode="auto">
        <a:xfrm>
          <a:off x="4257674" y="20274915"/>
          <a:ext cx="1781175" cy="8801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26</xdr:row>
      <xdr:rowOff>809624</xdr:rowOff>
    </xdr:from>
    <xdr:to>
      <xdr:col>4</xdr:col>
      <xdr:colOff>1695450</xdr:colOff>
      <xdr:row>27</xdr:row>
      <xdr:rowOff>847724</xdr:rowOff>
    </xdr:to>
    <xdr:pic>
      <xdr:nvPicPr>
        <xdr:cNvPr id="150" name="Picture 149">
          <a:extLst>
            <a:ext uri="{FF2B5EF4-FFF2-40B4-BE49-F238E27FC236}">
              <a16:creationId xmlns:a16="http://schemas.microsoft.com/office/drawing/2014/main" id="{00000000-0008-0000-0000-000096000000}"/>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7896225" y="20259674"/>
          <a:ext cx="16002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28</xdr:row>
      <xdr:rowOff>0</xdr:rowOff>
    </xdr:from>
    <xdr:to>
      <xdr:col>4</xdr:col>
      <xdr:colOff>1733550</xdr:colOff>
      <xdr:row>28</xdr:row>
      <xdr:rowOff>1028700</xdr:rowOff>
    </xdr:to>
    <xdr:pic>
      <xdr:nvPicPr>
        <xdr:cNvPr id="151" name="Picture 150">
          <a:extLst>
            <a:ext uri="{FF2B5EF4-FFF2-40B4-BE49-F238E27FC236}">
              <a16:creationId xmlns:a16="http://schemas.microsoft.com/office/drawing/2014/main" id="{00000000-0008-0000-0000-000097000000}"/>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7800975" y="21155025"/>
          <a:ext cx="17335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67228</xdr:colOff>
      <xdr:row>29</xdr:row>
      <xdr:rowOff>22860</xdr:rowOff>
    </xdr:from>
    <xdr:to>
      <xdr:col>2</xdr:col>
      <xdr:colOff>1847850</xdr:colOff>
      <xdr:row>30</xdr:row>
      <xdr:rowOff>22860</xdr:rowOff>
    </xdr:to>
    <xdr:pic>
      <xdr:nvPicPr>
        <xdr:cNvPr id="152" name="Picture 151">
          <a:extLst>
            <a:ext uri="{FF2B5EF4-FFF2-40B4-BE49-F238E27FC236}">
              <a16:creationId xmlns:a16="http://schemas.microsoft.com/office/drawing/2014/main" id="{00000000-0008-0000-0000-000098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4229653" y="22254210"/>
          <a:ext cx="1780622"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67228</xdr:colOff>
      <xdr:row>29</xdr:row>
      <xdr:rowOff>29008</xdr:rowOff>
    </xdr:from>
    <xdr:to>
      <xdr:col>4</xdr:col>
      <xdr:colOff>1704975</xdr:colOff>
      <xdr:row>29</xdr:row>
      <xdr:rowOff>857250</xdr:rowOff>
    </xdr:to>
    <xdr:pic>
      <xdr:nvPicPr>
        <xdr:cNvPr id="153" name="Picture 152">
          <a:extLst>
            <a:ext uri="{FF2B5EF4-FFF2-40B4-BE49-F238E27FC236}">
              <a16:creationId xmlns:a16="http://schemas.microsoft.com/office/drawing/2014/main" id="{00000000-0008-0000-0000-000099000000}"/>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7868203" y="22260358"/>
          <a:ext cx="1637747" cy="8282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30</xdr:row>
      <xdr:rowOff>24763</xdr:rowOff>
    </xdr:from>
    <xdr:to>
      <xdr:col>2</xdr:col>
      <xdr:colOff>1814862</xdr:colOff>
      <xdr:row>30</xdr:row>
      <xdr:rowOff>1066800</xdr:rowOff>
    </xdr:to>
    <xdr:pic>
      <xdr:nvPicPr>
        <xdr:cNvPr id="155" name="Picture 154">
          <a:extLst>
            <a:ext uri="{FF2B5EF4-FFF2-40B4-BE49-F238E27FC236}">
              <a16:creationId xmlns:a16="http://schemas.microsoft.com/office/drawing/2014/main" id="{00000000-0008-0000-0000-00009B000000}"/>
            </a:ext>
          </a:extLst>
        </xdr:cNvPr>
        <xdr:cNvPicPr>
          <a:picLocks noChangeAspect="1" noChangeArrowheads="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4267200" y="23132413"/>
          <a:ext cx="1710087" cy="10420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47624</xdr:colOff>
      <xdr:row>30</xdr:row>
      <xdr:rowOff>38098</xdr:rowOff>
    </xdr:from>
    <xdr:to>
      <xdr:col>4</xdr:col>
      <xdr:colOff>1787444</xdr:colOff>
      <xdr:row>30</xdr:row>
      <xdr:rowOff>1104900</xdr:rowOff>
    </xdr:to>
    <xdr:pic>
      <xdr:nvPicPr>
        <xdr:cNvPr id="156" name="Picture 155">
          <a:extLst>
            <a:ext uri="{FF2B5EF4-FFF2-40B4-BE49-F238E27FC236}">
              <a16:creationId xmlns:a16="http://schemas.microsoft.com/office/drawing/2014/main" id="{00000000-0008-0000-0000-00009C000000}"/>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bwMode="auto">
        <a:xfrm>
          <a:off x="7848599" y="23145748"/>
          <a:ext cx="1739820" cy="10668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53339</xdr:colOff>
      <xdr:row>10</xdr:row>
      <xdr:rowOff>733424</xdr:rowOff>
    </xdr:from>
    <xdr:to>
      <xdr:col>2</xdr:col>
      <xdr:colOff>1838324</xdr:colOff>
      <xdr:row>11</xdr:row>
      <xdr:rowOff>955726</xdr:rowOff>
    </xdr:to>
    <xdr:pic>
      <xdr:nvPicPr>
        <xdr:cNvPr id="158" name="Picture 157">
          <a:extLst>
            <a:ext uri="{FF2B5EF4-FFF2-40B4-BE49-F238E27FC236}">
              <a16:creationId xmlns:a16="http://schemas.microsoft.com/office/drawing/2014/main" id="{00000000-0008-0000-0000-00009E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215764" y="6286499"/>
          <a:ext cx="1784985" cy="9557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1724024</xdr:colOff>
      <xdr:row>10</xdr:row>
      <xdr:rowOff>733424</xdr:rowOff>
    </xdr:from>
    <xdr:to>
      <xdr:col>4</xdr:col>
      <xdr:colOff>1733550</xdr:colOff>
      <xdr:row>11</xdr:row>
      <xdr:rowOff>946330</xdr:rowOff>
    </xdr:to>
    <xdr:pic>
      <xdr:nvPicPr>
        <xdr:cNvPr id="159" name="Picture 158">
          <a:extLst>
            <a:ext uri="{FF2B5EF4-FFF2-40B4-BE49-F238E27FC236}">
              <a16:creationId xmlns:a16="http://schemas.microsoft.com/office/drawing/2014/main" id="{00000000-0008-0000-0000-00009F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800974" y="6286499"/>
          <a:ext cx="1733551" cy="9463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13</xdr:row>
      <xdr:rowOff>819149</xdr:rowOff>
    </xdr:from>
    <xdr:to>
      <xdr:col>2</xdr:col>
      <xdr:colOff>1876425</xdr:colOff>
      <xdr:row>14</xdr:row>
      <xdr:rowOff>904874</xdr:rowOff>
    </xdr:to>
    <xdr:pic>
      <xdr:nvPicPr>
        <xdr:cNvPr id="160" name="Picture 159">
          <a:extLst>
            <a:ext uri="{FF2B5EF4-FFF2-40B4-BE49-F238E27FC236}">
              <a16:creationId xmlns:a16="http://schemas.microsoft.com/office/drawing/2014/main" id="{00000000-0008-0000-0000-0000A0000000}"/>
            </a:ext>
          </a:extLst>
        </xdr:cNvPr>
        <xdr:cNvPicPr/>
      </xdr:nvPicPr>
      <xdr:blipFill>
        <a:blip xmlns:r="http://schemas.openxmlformats.org/officeDocument/2006/relationships" r:embed="rId44" cstate="print">
          <a:extLst>
            <a:ext uri="{28A0092B-C50C-407E-A947-70E740481C1C}">
              <a14:useLocalDpi xmlns:a14="http://schemas.microsoft.com/office/drawing/2010/main" val="0"/>
            </a:ext>
          </a:extLst>
        </a:blip>
        <a:srcRect/>
        <a:stretch>
          <a:fillRect/>
        </a:stretch>
      </xdr:blipFill>
      <xdr:spPr bwMode="auto">
        <a:xfrm>
          <a:off x="4162425" y="9010649"/>
          <a:ext cx="1876425" cy="904875"/>
        </a:xfrm>
        <a:prstGeom prst="rect">
          <a:avLst/>
        </a:prstGeom>
        <a:noFill/>
        <a:ln>
          <a:noFill/>
        </a:ln>
      </xdr:spPr>
    </xdr:pic>
    <xdr:clientData/>
  </xdr:twoCellAnchor>
  <xdr:twoCellAnchor>
    <xdr:from>
      <xdr:col>2</xdr:col>
      <xdr:colOff>0</xdr:colOff>
      <xdr:row>15</xdr:row>
      <xdr:rowOff>0</xdr:rowOff>
    </xdr:from>
    <xdr:to>
      <xdr:col>3</xdr:col>
      <xdr:colOff>0</xdr:colOff>
      <xdr:row>15</xdr:row>
      <xdr:rowOff>731520</xdr:rowOff>
    </xdr:to>
    <xdr:pic>
      <xdr:nvPicPr>
        <xdr:cNvPr id="161" name="Picture 160">
          <a:extLst>
            <a:ext uri="{FF2B5EF4-FFF2-40B4-BE49-F238E27FC236}">
              <a16:creationId xmlns:a16="http://schemas.microsoft.com/office/drawing/2014/main" id="{00000000-0008-0000-0000-0000A1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162425" y="9058275"/>
          <a:ext cx="1381125" cy="731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16</xdr:row>
      <xdr:rowOff>0</xdr:rowOff>
    </xdr:from>
    <xdr:to>
      <xdr:col>2</xdr:col>
      <xdr:colOff>1828800</xdr:colOff>
      <xdr:row>16</xdr:row>
      <xdr:rowOff>754380</xdr:rowOff>
    </xdr:to>
    <xdr:pic>
      <xdr:nvPicPr>
        <xdr:cNvPr id="162" name="Picture 161">
          <a:extLst>
            <a:ext uri="{FF2B5EF4-FFF2-40B4-BE49-F238E27FC236}">
              <a16:creationId xmlns:a16="http://schemas.microsoft.com/office/drawing/2014/main" id="{00000000-0008-0000-0000-0000A2000000}"/>
            </a:ext>
          </a:extLst>
        </xdr:cNvPr>
        <xdr:cNvPicPr/>
      </xdr:nvPicPr>
      <xdr:blipFill>
        <a:blip xmlns:r="http://schemas.openxmlformats.org/officeDocument/2006/relationships" r:embed="rId44" cstate="print">
          <a:extLst>
            <a:ext uri="{28A0092B-C50C-407E-A947-70E740481C1C}">
              <a14:useLocalDpi xmlns:a14="http://schemas.microsoft.com/office/drawing/2010/main" val="0"/>
            </a:ext>
          </a:extLst>
        </a:blip>
        <a:srcRect/>
        <a:stretch>
          <a:fillRect/>
        </a:stretch>
      </xdr:blipFill>
      <xdr:spPr bwMode="auto">
        <a:xfrm>
          <a:off x="4162425" y="10858500"/>
          <a:ext cx="1828800" cy="754380"/>
        </a:xfrm>
        <a:prstGeom prst="rect">
          <a:avLst/>
        </a:prstGeom>
        <a:noFill/>
        <a:ln>
          <a:noFill/>
        </a:ln>
      </xdr:spPr>
    </xdr:pic>
    <xdr:clientData/>
  </xdr:twoCellAnchor>
  <xdr:twoCellAnchor>
    <xdr:from>
      <xdr:col>2</xdr:col>
      <xdr:colOff>30480</xdr:colOff>
      <xdr:row>17</xdr:row>
      <xdr:rowOff>0</xdr:rowOff>
    </xdr:from>
    <xdr:to>
      <xdr:col>2</xdr:col>
      <xdr:colOff>1866900</xdr:colOff>
      <xdr:row>17</xdr:row>
      <xdr:rowOff>846014</xdr:rowOff>
    </xdr:to>
    <xdr:pic>
      <xdr:nvPicPr>
        <xdr:cNvPr id="163" name="Picture 162">
          <a:extLst>
            <a:ext uri="{FF2B5EF4-FFF2-40B4-BE49-F238E27FC236}">
              <a16:creationId xmlns:a16="http://schemas.microsoft.com/office/drawing/2014/main" id="{00000000-0008-0000-0000-0000A300000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4192905" y="11696700"/>
          <a:ext cx="1836420" cy="8460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171449</xdr:colOff>
      <xdr:row>28</xdr:row>
      <xdr:rowOff>38100</xdr:rowOff>
    </xdr:from>
    <xdr:to>
      <xdr:col>2</xdr:col>
      <xdr:colOff>1819274</xdr:colOff>
      <xdr:row>28</xdr:row>
      <xdr:rowOff>1057714</xdr:rowOff>
    </xdr:to>
    <xdr:pic>
      <xdr:nvPicPr>
        <xdr:cNvPr id="164" name="Picture 163">
          <a:extLst>
            <a:ext uri="{FF2B5EF4-FFF2-40B4-BE49-F238E27FC236}">
              <a16:creationId xmlns:a16="http://schemas.microsoft.com/office/drawing/2014/main" id="{00000000-0008-0000-0000-0000A4000000}"/>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4333874" y="21193125"/>
          <a:ext cx="1647825" cy="10196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68580</xdr:colOff>
      <xdr:row>31</xdr:row>
      <xdr:rowOff>0</xdr:rowOff>
    </xdr:from>
    <xdr:to>
      <xdr:col>2</xdr:col>
      <xdr:colOff>1702114</xdr:colOff>
      <xdr:row>31</xdr:row>
      <xdr:rowOff>838200</xdr:rowOff>
    </xdr:to>
    <xdr:pic>
      <xdr:nvPicPr>
        <xdr:cNvPr id="167" name="Picture 166">
          <a:extLst>
            <a:ext uri="{FF2B5EF4-FFF2-40B4-BE49-F238E27FC236}">
              <a16:creationId xmlns:a16="http://schemas.microsoft.com/office/drawing/2014/main" id="{00000000-0008-0000-0000-0000A7000000}"/>
            </a:ext>
          </a:extLst>
        </xdr:cNvPr>
        <xdr:cNvPicPr>
          <a:picLocks noChangeAspect="1"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a:stretch>
          <a:fillRect/>
        </a:stretch>
      </xdr:blipFill>
      <xdr:spPr bwMode="auto">
        <a:xfrm>
          <a:off x="4231005" y="21402675"/>
          <a:ext cx="1309684"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xdr:colOff>
      <xdr:row>31</xdr:row>
      <xdr:rowOff>15240</xdr:rowOff>
    </xdr:from>
    <xdr:to>
      <xdr:col>4</xdr:col>
      <xdr:colOff>1664014</xdr:colOff>
      <xdr:row>31</xdr:row>
      <xdr:rowOff>853440</xdr:rowOff>
    </xdr:to>
    <xdr:pic>
      <xdr:nvPicPr>
        <xdr:cNvPr id="168" name="Picture 167">
          <a:extLst>
            <a:ext uri="{FF2B5EF4-FFF2-40B4-BE49-F238E27FC236}">
              <a16:creationId xmlns:a16="http://schemas.microsoft.com/office/drawing/2014/main" id="{00000000-0008-0000-0000-0000A8000000}"/>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7221855" y="21417915"/>
          <a:ext cx="1443034"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80966</xdr:colOff>
      <xdr:row>31</xdr:row>
      <xdr:rowOff>828674</xdr:rowOff>
    </xdr:from>
    <xdr:to>
      <xdr:col>2</xdr:col>
      <xdr:colOff>1714500</xdr:colOff>
      <xdr:row>32</xdr:row>
      <xdr:rowOff>962024</xdr:rowOff>
    </xdr:to>
    <xdr:pic>
      <xdr:nvPicPr>
        <xdr:cNvPr id="169" name="Picture 168">
          <a:extLst>
            <a:ext uri="{FF2B5EF4-FFF2-40B4-BE49-F238E27FC236}">
              <a16:creationId xmlns:a16="http://schemas.microsoft.com/office/drawing/2014/main" id="{00000000-0008-0000-0000-0000A9000000}"/>
            </a:ext>
          </a:extLst>
        </xdr:cNvPr>
        <xdr:cNvPicPr>
          <a:picLocks noChangeAspect="1" noChangeArrowheads="1"/>
        </xdr:cNvPicPr>
      </xdr:nvPicPr>
      <xdr:blipFill>
        <a:blip xmlns:r="http://schemas.openxmlformats.org/officeDocument/2006/relationships" r:embed="rId46" cstate="print">
          <a:extLst>
            <a:ext uri="{28A0092B-C50C-407E-A947-70E740481C1C}">
              <a14:useLocalDpi xmlns:a14="http://schemas.microsoft.com/office/drawing/2010/main" val="0"/>
            </a:ext>
          </a:extLst>
        </a:blip>
        <a:srcRect/>
        <a:stretch>
          <a:fillRect/>
        </a:stretch>
      </xdr:blipFill>
      <xdr:spPr bwMode="auto">
        <a:xfrm>
          <a:off x="4957766" y="25050749"/>
          <a:ext cx="163353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80966</xdr:colOff>
      <xdr:row>32</xdr:row>
      <xdr:rowOff>0</xdr:rowOff>
    </xdr:from>
    <xdr:to>
      <xdr:col>4</xdr:col>
      <xdr:colOff>1714500</xdr:colOff>
      <xdr:row>32</xdr:row>
      <xdr:rowOff>990600</xdr:rowOff>
    </xdr:to>
    <xdr:pic>
      <xdr:nvPicPr>
        <xdr:cNvPr id="170" name="Picture 169">
          <a:extLst>
            <a:ext uri="{FF2B5EF4-FFF2-40B4-BE49-F238E27FC236}">
              <a16:creationId xmlns:a16="http://schemas.microsoft.com/office/drawing/2014/main" id="{00000000-0008-0000-0000-0000AA000000}"/>
            </a:ext>
          </a:extLst>
        </xdr:cNvPr>
        <xdr:cNvPicPr>
          <a:picLocks noChangeAspect="1" noChangeArrowheads="1"/>
        </xdr:cNvPicPr>
      </xdr:nvPicPr>
      <xdr:blipFill>
        <a:blip xmlns:r="http://schemas.openxmlformats.org/officeDocument/2006/relationships" r:embed="rId47" cstate="print">
          <a:extLst>
            <a:ext uri="{28A0092B-C50C-407E-A947-70E740481C1C}">
              <a14:useLocalDpi xmlns:a14="http://schemas.microsoft.com/office/drawing/2010/main" val="0"/>
            </a:ext>
          </a:extLst>
        </a:blip>
        <a:srcRect/>
        <a:stretch>
          <a:fillRect/>
        </a:stretch>
      </xdr:blipFill>
      <xdr:spPr bwMode="auto">
        <a:xfrm>
          <a:off x="8596316" y="25050750"/>
          <a:ext cx="1633534"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33</xdr:row>
      <xdr:rowOff>0</xdr:rowOff>
    </xdr:from>
    <xdr:to>
      <xdr:col>2</xdr:col>
      <xdr:colOff>1666874</xdr:colOff>
      <xdr:row>33</xdr:row>
      <xdr:rowOff>1181100</xdr:rowOff>
    </xdr:to>
    <xdr:pic>
      <xdr:nvPicPr>
        <xdr:cNvPr id="171" name="Picture 170">
          <a:extLst>
            <a:ext uri="{FF2B5EF4-FFF2-40B4-BE49-F238E27FC236}">
              <a16:creationId xmlns:a16="http://schemas.microsoft.com/office/drawing/2014/main" id="{00000000-0008-0000-0000-0000AB000000}"/>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bwMode="auto">
        <a:xfrm>
          <a:off x="4962525" y="26050875"/>
          <a:ext cx="1581149"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80966</xdr:colOff>
      <xdr:row>33</xdr:row>
      <xdr:rowOff>0</xdr:rowOff>
    </xdr:from>
    <xdr:to>
      <xdr:col>4</xdr:col>
      <xdr:colOff>1714500</xdr:colOff>
      <xdr:row>33</xdr:row>
      <xdr:rowOff>1257300</xdr:rowOff>
    </xdr:to>
    <xdr:pic>
      <xdr:nvPicPr>
        <xdr:cNvPr id="172" name="Picture 171">
          <a:extLst>
            <a:ext uri="{FF2B5EF4-FFF2-40B4-BE49-F238E27FC236}">
              <a16:creationId xmlns:a16="http://schemas.microsoft.com/office/drawing/2014/main" id="{00000000-0008-0000-0000-0000AC000000}"/>
            </a:ext>
          </a:extLst>
        </xdr:cNvPr>
        <xdr:cNvPicPr>
          <a:picLocks noChangeAspect="1" noChangeArrowheads="1"/>
        </xdr:cNvPicPr>
      </xdr:nvPicPr>
      <xdr:blipFill>
        <a:blip xmlns:r="http://schemas.openxmlformats.org/officeDocument/2006/relationships" r:embed="rId47" cstate="print">
          <a:extLst>
            <a:ext uri="{28A0092B-C50C-407E-A947-70E740481C1C}">
              <a14:useLocalDpi xmlns:a14="http://schemas.microsoft.com/office/drawing/2010/main" val="0"/>
            </a:ext>
          </a:extLst>
        </a:blip>
        <a:srcRect/>
        <a:stretch>
          <a:fillRect/>
        </a:stretch>
      </xdr:blipFill>
      <xdr:spPr bwMode="auto">
        <a:xfrm>
          <a:off x="8596316" y="26050875"/>
          <a:ext cx="1633534"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134639</xdr:colOff>
      <xdr:row>34</xdr:row>
      <xdr:rowOff>19050</xdr:rowOff>
    </xdr:from>
    <xdr:to>
      <xdr:col>2</xdr:col>
      <xdr:colOff>1724024</xdr:colOff>
      <xdr:row>34</xdr:row>
      <xdr:rowOff>990600</xdr:rowOff>
    </xdr:to>
    <xdr:pic>
      <xdr:nvPicPr>
        <xdr:cNvPr id="173" name="Picture 172">
          <a:extLst>
            <a:ext uri="{FF2B5EF4-FFF2-40B4-BE49-F238E27FC236}">
              <a16:creationId xmlns:a16="http://schemas.microsoft.com/office/drawing/2014/main" id="{00000000-0008-0000-0000-0000AD000000}"/>
            </a:ext>
          </a:extLst>
        </xdr:cNvPr>
        <xdr:cNvPicPr>
          <a:picLocks noChangeAspect="1" noChangeArrowheads="1"/>
        </xdr:cNvPicPr>
      </xdr:nvPicPr>
      <xdr:blipFill>
        <a:blip xmlns:r="http://schemas.openxmlformats.org/officeDocument/2006/relationships" r:embed="rId49" cstate="print">
          <a:extLst>
            <a:ext uri="{28A0092B-C50C-407E-A947-70E740481C1C}">
              <a14:useLocalDpi xmlns:a14="http://schemas.microsoft.com/office/drawing/2010/main" val="0"/>
            </a:ext>
          </a:extLst>
        </a:blip>
        <a:srcRect/>
        <a:stretch>
          <a:fillRect/>
        </a:stretch>
      </xdr:blipFill>
      <xdr:spPr bwMode="auto">
        <a:xfrm>
          <a:off x="5011439" y="26793825"/>
          <a:ext cx="158938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34</xdr:row>
      <xdr:rowOff>28575</xdr:rowOff>
    </xdr:from>
    <xdr:to>
      <xdr:col>4</xdr:col>
      <xdr:colOff>1635765</xdr:colOff>
      <xdr:row>34</xdr:row>
      <xdr:rowOff>1076325</xdr:rowOff>
    </xdr:to>
    <xdr:pic>
      <xdr:nvPicPr>
        <xdr:cNvPr id="174" name="Picture 173">
          <a:extLst>
            <a:ext uri="{FF2B5EF4-FFF2-40B4-BE49-F238E27FC236}">
              <a16:creationId xmlns:a16="http://schemas.microsoft.com/office/drawing/2014/main" id="{00000000-0008-0000-0000-0000AE000000}"/>
            </a:ext>
          </a:extLst>
        </xdr:cNvPr>
        <xdr:cNvPicPr>
          <a:picLocks noChangeAspect="1"/>
        </xdr:cNvPicPr>
      </xdr:nvPicPr>
      <xdr:blipFill>
        <a:blip xmlns:r="http://schemas.openxmlformats.org/officeDocument/2006/relationships" r:embed="rId29"/>
        <a:stretch>
          <a:fillRect/>
        </a:stretch>
      </xdr:blipFill>
      <xdr:spPr>
        <a:xfrm>
          <a:off x="8705850" y="26803350"/>
          <a:ext cx="1445265" cy="1047750"/>
        </a:xfrm>
        <a:prstGeom prst="rect">
          <a:avLst/>
        </a:prstGeom>
      </xdr:spPr>
    </xdr:pic>
    <xdr:clientData/>
  </xdr:twoCellAnchor>
  <xdr:twoCellAnchor>
    <xdr:from>
      <xdr:col>2</xdr:col>
      <xdr:colOff>44149</xdr:colOff>
      <xdr:row>34</xdr:row>
      <xdr:rowOff>1123949</xdr:rowOff>
    </xdr:from>
    <xdr:to>
      <xdr:col>2</xdr:col>
      <xdr:colOff>1721832</xdr:colOff>
      <xdr:row>35</xdr:row>
      <xdr:rowOff>1171574</xdr:rowOff>
    </xdr:to>
    <xdr:pic>
      <xdr:nvPicPr>
        <xdr:cNvPr id="175" name="Picture 174">
          <a:extLst>
            <a:ext uri="{FF2B5EF4-FFF2-40B4-BE49-F238E27FC236}">
              <a16:creationId xmlns:a16="http://schemas.microsoft.com/office/drawing/2014/main" id="{00000000-0008-0000-0000-0000AF000000}"/>
            </a:ext>
          </a:extLst>
        </xdr:cNvPr>
        <xdr:cNvPicPr>
          <a:picLocks noChangeAspect="1" noChangeArrowheads="1"/>
        </xdr:cNvPicPr>
      </xdr:nvPicPr>
      <xdr:blipFill>
        <a:blip xmlns:r="http://schemas.openxmlformats.org/officeDocument/2006/relationships" r:embed="rId50" cstate="print">
          <a:extLst>
            <a:ext uri="{28A0092B-C50C-407E-A947-70E740481C1C}">
              <a14:useLocalDpi xmlns:a14="http://schemas.microsoft.com/office/drawing/2010/main" val="0"/>
            </a:ext>
          </a:extLst>
        </a:blip>
        <a:srcRect/>
        <a:stretch>
          <a:fillRect/>
        </a:stretch>
      </xdr:blipFill>
      <xdr:spPr bwMode="auto">
        <a:xfrm>
          <a:off x="4920949" y="27898724"/>
          <a:ext cx="1677683"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95250</xdr:colOff>
      <xdr:row>35</xdr:row>
      <xdr:rowOff>68580</xdr:rowOff>
    </xdr:from>
    <xdr:ext cx="1638300" cy="1074420"/>
    <xdr:pic>
      <xdr:nvPicPr>
        <xdr:cNvPr id="176" name="Picture 175">
          <a:extLst>
            <a:ext uri="{FF2B5EF4-FFF2-40B4-BE49-F238E27FC236}">
              <a16:creationId xmlns:a16="http://schemas.microsoft.com/office/drawing/2014/main" id="{00000000-0008-0000-0000-0000B0000000}"/>
            </a:ext>
          </a:extLst>
        </xdr:cNvPr>
        <xdr:cNvPicPr>
          <a:picLocks noChangeAspect="1"/>
        </xdr:cNvPicPr>
      </xdr:nvPicPr>
      <xdr:blipFill>
        <a:blip xmlns:r="http://schemas.openxmlformats.org/officeDocument/2006/relationships" r:embed="rId29"/>
        <a:stretch>
          <a:fillRect/>
        </a:stretch>
      </xdr:blipFill>
      <xdr:spPr>
        <a:xfrm>
          <a:off x="8610600" y="27967305"/>
          <a:ext cx="1638300" cy="1074420"/>
        </a:xfrm>
        <a:prstGeom prst="rect">
          <a:avLst/>
        </a:prstGeom>
      </xdr:spPr>
    </xdr:pic>
    <xdr:clientData/>
  </xdr:oneCellAnchor>
  <xdr:twoCellAnchor>
    <xdr:from>
      <xdr:col>2</xdr:col>
      <xdr:colOff>74788</xdr:colOff>
      <xdr:row>36</xdr:row>
      <xdr:rowOff>47625</xdr:rowOff>
    </xdr:from>
    <xdr:to>
      <xdr:col>2</xdr:col>
      <xdr:colOff>1646598</xdr:colOff>
      <xdr:row>36</xdr:row>
      <xdr:rowOff>704850</xdr:rowOff>
    </xdr:to>
    <xdr:pic>
      <xdr:nvPicPr>
        <xdr:cNvPr id="177" name="Picture 176">
          <a:extLst>
            <a:ext uri="{FF2B5EF4-FFF2-40B4-BE49-F238E27FC236}">
              <a16:creationId xmlns:a16="http://schemas.microsoft.com/office/drawing/2014/main" id="{00000000-0008-0000-0000-0000B1000000}"/>
            </a:ext>
          </a:extLst>
        </xdr:cNvPr>
        <xdr:cNvPicPr>
          <a:picLocks noChangeAspect="1" noChangeArrowheads="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a:stretch>
          <a:fillRect/>
        </a:stretch>
      </xdr:blipFill>
      <xdr:spPr bwMode="auto">
        <a:xfrm>
          <a:off x="4237213" y="25307925"/>
          <a:ext cx="130511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36</xdr:row>
      <xdr:rowOff>0</xdr:rowOff>
    </xdr:from>
    <xdr:to>
      <xdr:col>4</xdr:col>
      <xdr:colOff>1524000</xdr:colOff>
      <xdr:row>36</xdr:row>
      <xdr:rowOff>694107</xdr:rowOff>
    </xdr:to>
    <xdr:pic>
      <xdr:nvPicPr>
        <xdr:cNvPr id="178" name="Picture 177">
          <a:extLst>
            <a:ext uri="{FF2B5EF4-FFF2-40B4-BE49-F238E27FC236}">
              <a16:creationId xmlns:a16="http://schemas.microsoft.com/office/drawing/2014/main" id="{00000000-0008-0000-0000-0000B2000000}"/>
            </a:ext>
          </a:extLst>
        </xdr:cNvPr>
        <xdr:cNvPicPr>
          <a:picLocks noChangeAspect="1" noChangeArrowheads="1"/>
        </xdr:cNvPicPr>
      </xdr:nvPicPr>
      <xdr:blipFill>
        <a:blip xmlns:r="http://schemas.openxmlformats.org/officeDocument/2006/relationships" r:embed="rId52" cstate="print">
          <a:extLst>
            <a:ext uri="{28A0092B-C50C-407E-A947-70E740481C1C}">
              <a14:useLocalDpi xmlns:a14="http://schemas.microsoft.com/office/drawing/2010/main" val="0"/>
            </a:ext>
          </a:extLst>
        </a:blip>
        <a:srcRect/>
        <a:stretch>
          <a:fillRect/>
        </a:stretch>
      </xdr:blipFill>
      <xdr:spPr bwMode="auto">
        <a:xfrm>
          <a:off x="7191375" y="25260300"/>
          <a:ext cx="1476375" cy="6941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37</xdr:row>
      <xdr:rowOff>0</xdr:rowOff>
    </xdr:from>
    <xdr:to>
      <xdr:col>5</xdr:col>
      <xdr:colOff>0</xdr:colOff>
      <xdr:row>37</xdr:row>
      <xdr:rowOff>694107</xdr:rowOff>
    </xdr:to>
    <xdr:pic>
      <xdr:nvPicPr>
        <xdr:cNvPr id="179" name="Picture 178">
          <a:extLst>
            <a:ext uri="{FF2B5EF4-FFF2-40B4-BE49-F238E27FC236}">
              <a16:creationId xmlns:a16="http://schemas.microsoft.com/office/drawing/2014/main" id="{00000000-0008-0000-0000-0000B3000000}"/>
            </a:ext>
          </a:extLst>
        </xdr:cNvPr>
        <xdr:cNvPicPr>
          <a:picLocks noChangeAspect="1" noChangeArrowheads="1"/>
        </xdr:cNvPicPr>
      </xdr:nvPicPr>
      <xdr:blipFill>
        <a:blip xmlns:r="http://schemas.openxmlformats.org/officeDocument/2006/relationships" r:embed="rId53" cstate="print">
          <a:extLst>
            <a:ext uri="{28A0092B-C50C-407E-A947-70E740481C1C}">
              <a14:useLocalDpi xmlns:a14="http://schemas.microsoft.com/office/drawing/2010/main" val="0"/>
            </a:ext>
          </a:extLst>
        </a:blip>
        <a:srcRect/>
        <a:stretch>
          <a:fillRect/>
        </a:stretch>
      </xdr:blipFill>
      <xdr:spPr bwMode="auto">
        <a:xfrm>
          <a:off x="7191375" y="26031825"/>
          <a:ext cx="1476375" cy="6941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139065</xdr:colOff>
      <xdr:row>37</xdr:row>
      <xdr:rowOff>60960</xdr:rowOff>
    </xdr:from>
    <xdr:to>
      <xdr:col>2</xdr:col>
      <xdr:colOff>1819275</xdr:colOff>
      <xdr:row>37</xdr:row>
      <xdr:rowOff>1045050</xdr:rowOff>
    </xdr:to>
    <xdr:pic>
      <xdr:nvPicPr>
        <xdr:cNvPr id="180" name="Picture 179">
          <a:extLst>
            <a:ext uri="{FF2B5EF4-FFF2-40B4-BE49-F238E27FC236}">
              <a16:creationId xmlns:a16="http://schemas.microsoft.com/office/drawing/2014/main" id="{00000000-0008-0000-0000-0000B4000000}"/>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rcRect/>
        <a:stretch>
          <a:fillRect/>
        </a:stretch>
      </xdr:blipFill>
      <xdr:spPr bwMode="auto">
        <a:xfrm>
          <a:off x="5015865" y="30902910"/>
          <a:ext cx="1680210" cy="984090"/>
        </a:xfrm>
        <a:prstGeom prst="rect">
          <a:avLst/>
        </a:prstGeom>
        <a:noFill/>
        <a:ln>
          <a:noFill/>
        </a:ln>
      </xdr:spPr>
    </xdr:pic>
    <xdr:clientData/>
  </xdr:twoCellAnchor>
  <xdr:twoCellAnchor>
    <xdr:from>
      <xdr:col>2</xdr:col>
      <xdr:colOff>110374</xdr:colOff>
      <xdr:row>38</xdr:row>
      <xdr:rowOff>1</xdr:rowOff>
    </xdr:from>
    <xdr:to>
      <xdr:col>2</xdr:col>
      <xdr:colOff>1655608</xdr:colOff>
      <xdr:row>38</xdr:row>
      <xdr:rowOff>752475</xdr:rowOff>
    </xdr:to>
    <xdr:pic>
      <xdr:nvPicPr>
        <xdr:cNvPr id="181" name="Picture 180">
          <a:extLst>
            <a:ext uri="{FF2B5EF4-FFF2-40B4-BE49-F238E27FC236}">
              <a16:creationId xmlns:a16="http://schemas.microsoft.com/office/drawing/2014/main" id="{00000000-0008-0000-0000-0000B5000000}"/>
            </a:ext>
          </a:extLst>
        </xdr:cNvPr>
        <xdr:cNvPicPr>
          <a:picLocks noChangeAspect="1" noChangeArrowheads="1"/>
        </xdr:cNvPicPr>
      </xdr:nvPicPr>
      <xdr:blipFill>
        <a:blip xmlns:r="http://schemas.openxmlformats.org/officeDocument/2006/relationships" r:embed="rId55" cstate="print">
          <a:extLst>
            <a:ext uri="{28A0092B-C50C-407E-A947-70E740481C1C}">
              <a14:useLocalDpi xmlns:a14="http://schemas.microsoft.com/office/drawing/2010/main" val="0"/>
            </a:ext>
          </a:extLst>
        </a:blip>
        <a:srcRect/>
        <a:stretch>
          <a:fillRect/>
        </a:stretch>
      </xdr:blipFill>
      <xdr:spPr bwMode="auto">
        <a:xfrm>
          <a:off x="4272799" y="26803351"/>
          <a:ext cx="1269009" cy="7524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110374</xdr:colOff>
      <xdr:row>38</xdr:row>
      <xdr:rowOff>1</xdr:rowOff>
    </xdr:from>
    <xdr:to>
      <xdr:col>4</xdr:col>
      <xdr:colOff>1655608</xdr:colOff>
      <xdr:row>38</xdr:row>
      <xdr:rowOff>752475</xdr:rowOff>
    </xdr:to>
    <xdr:pic>
      <xdr:nvPicPr>
        <xdr:cNvPr id="182" name="Picture 181">
          <a:extLst>
            <a:ext uri="{FF2B5EF4-FFF2-40B4-BE49-F238E27FC236}">
              <a16:creationId xmlns:a16="http://schemas.microsoft.com/office/drawing/2014/main" id="{00000000-0008-0000-0000-0000B6000000}"/>
            </a:ext>
          </a:extLst>
        </xdr:cNvPr>
        <xdr:cNvPicPr>
          <a:picLocks noChangeAspect="1" noChangeArrowheads="1"/>
        </xdr:cNvPicPr>
      </xdr:nvPicPr>
      <xdr:blipFill>
        <a:blip xmlns:r="http://schemas.openxmlformats.org/officeDocument/2006/relationships" r:embed="rId56" cstate="print">
          <a:extLst>
            <a:ext uri="{28A0092B-C50C-407E-A947-70E740481C1C}">
              <a14:useLocalDpi xmlns:a14="http://schemas.microsoft.com/office/drawing/2010/main" val="0"/>
            </a:ext>
          </a:extLst>
        </a:blip>
        <a:srcRect/>
        <a:stretch>
          <a:fillRect/>
        </a:stretch>
      </xdr:blipFill>
      <xdr:spPr bwMode="auto">
        <a:xfrm>
          <a:off x="7301749" y="26803351"/>
          <a:ext cx="1364259" cy="7524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44149</xdr:colOff>
      <xdr:row>39</xdr:row>
      <xdr:rowOff>0</xdr:rowOff>
    </xdr:from>
    <xdr:to>
      <xdr:col>2</xdr:col>
      <xdr:colOff>1677682</xdr:colOff>
      <xdr:row>39</xdr:row>
      <xdr:rowOff>704850</xdr:rowOff>
    </xdr:to>
    <xdr:pic>
      <xdr:nvPicPr>
        <xdr:cNvPr id="183" name="Picture 182">
          <a:extLst>
            <a:ext uri="{FF2B5EF4-FFF2-40B4-BE49-F238E27FC236}">
              <a16:creationId xmlns:a16="http://schemas.microsoft.com/office/drawing/2014/main" id="{00000000-0008-0000-0000-0000B7000000}"/>
            </a:ext>
          </a:extLst>
        </xdr:cNvPr>
        <xdr:cNvPicPr>
          <a:picLocks noChangeAspect="1" noChangeArrowheads="1"/>
        </xdr:cNvPicPr>
      </xdr:nvPicPr>
      <xdr:blipFill>
        <a:blip xmlns:r="http://schemas.openxmlformats.org/officeDocument/2006/relationships" r:embed="rId57" cstate="print">
          <a:extLst>
            <a:ext uri="{28A0092B-C50C-407E-A947-70E740481C1C}">
              <a14:useLocalDpi xmlns:a14="http://schemas.microsoft.com/office/drawing/2010/main" val="0"/>
            </a:ext>
          </a:extLst>
        </a:blip>
        <a:srcRect/>
        <a:stretch>
          <a:fillRect/>
        </a:stretch>
      </xdr:blipFill>
      <xdr:spPr bwMode="auto">
        <a:xfrm>
          <a:off x="4206574" y="27574875"/>
          <a:ext cx="1338258"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110374</xdr:colOff>
      <xdr:row>39</xdr:row>
      <xdr:rowOff>1</xdr:rowOff>
    </xdr:from>
    <xdr:to>
      <xdr:col>4</xdr:col>
      <xdr:colOff>1655608</xdr:colOff>
      <xdr:row>39</xdr:row>
      <xdr:rowOff>752475</xdr:rowOff>
    </xdr:to>
    <xdr:pic>
      <xdr:nvPicPr>
        <xdr:cNvPr id="184" name="Picture 183">
          <a:extLst>
            <a:ext uri="{FF2B5EF4-FFF2-40B4-BE49-F238E27FC236}">
              <a16:creationId xmlns:a16="http://schemas.microsoft.com/office/drawing/2014/main" id="{00000000-0008-0000-0000-0000B8000000}"/>
            </a:ext>
          </a:extLst>
        </xdr:cNvPr>
        <xdr:cNvPicPr>
          <a:picLocks noChangeAspect="1" noChangeArrowheads="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a:stretch>
          <a:fillRect/>
        </a:stretch>
      </xdr:blipFill>
      <xdr:spPr bwMode="auto">
        <a:xfrm>
          <a:off x="7301749" y="27574876"/>
          <a:ext cx="1364259" cy="7524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49365</xdr:colOff>
      <xdr:row>40</xdr:row>
      <xdr:rowOff>0</xdr:rowOff>
    </xdr:from>
    <xdr:to>
      <xdr:col>2</xdr:col>
      <xdr:colOff>1704974</xdr:colOff>
      <xdr:row>40</xdr:row>
      <xdr:rowOff>714375</xdr:rowOff>
    </xdr:to>
    <xdr:pic>
      <xdr:nvPicPr>
        <xdr:cNvPr id="185" name="Picture 184">
          <a:extLst>
            <a:ext uri="{FF2B5EF4-FFF2-40B4-BE49-F238E27FC236}">
              <a16:creationId xmlns:a16="http://schemas.microsoft.com/office/drawing/2014/main" id="{00000000-0008-0000-0000-0000B9000000}"/>
            </a:ext>
          </a:extLst>
        </xdr:cNvPr>
        <xdr:cNvPicPr>
          <a:picLocks noChangeAspect="1" noChangeArrowheads="1"/>
        </xdr:cNvPicPr>
      </xdr:nvPicPr>
      <xdr:blipFill>
        <a:blip xmlns:r="http://schemas.openxmlformats.org/officeDocument/2006/relationships" r:embed="rId59" cstate="print">
          <a:extLst>
            <a:ext uri="{28A0092B-C50C-407E-A947-70E740481C1C}">
              <a14:useLocalDpi xmlns:a14="http://schemas.microsoft.com/office/drawing/2010/main" val="0"/>
            </a:ext>
          </a:extLst>
        </a:blip>
        <a:srcRect/>
        <a:stretch>
          <a:fillRect/>
        </a:stretch>
      </xdr:blipFill>
      <xdr:spPr bwMode="auto">
        <a:xfrm>
          <a:off x="4211790" y="28346400"/>
          <a:ext cx="1331759"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110374</xdr:colOff>
      <xdr:row>40</xdr:row>
      <xdr:rowOff>1</xdr:rowOff>
    </xdr:from>
    <xdr:to>
      <xdr:col>4</xdr:col>
      <xdr:colOff>1655608</xdr:colOff>
      <xdr:row>40</xdr:row>
      <xdr:rowOff>752475</xdr:rowOff>
    </xdr:to>
    <xdr:pic>
      <xdr:nvPicPr>
        <xdr:cNvPr id="186" name="Picture 185">
          <a:extLst>
            <a:ext uri="{FF2B5EF4-FFF2-40B4-BE49-F238E27FC236}">
              <a16:creationId xmlns:a16="http://schemas.microsoft.com/office/drawing/2014/main" id="{00000000-0008-0000-0000-0000BA000000}"/>
            </a:ext>
          </a:extLst>
        </xdr:cNvPr>
        <xdr:cNvPicPr>
          <a:picLocks noChangeAspect="1" noChangeArrowheads="1"/>
        </xdr:cNvPicPr>
      </xdr:nvPicPr>
      <xdr:blipFill>
        <a:blip xmlns:r="http://schemas.openxmlformats.org/officeDocument/2006/relationships" r:embed="rId56" cstate="print">
          <a:extLst>
            <a:ext uri="{28A0092B-C50C-407E-A947-70E740481C1C}">
              <a14:useLocalDpi xmlns:a14="http://schemas.microsoft.com/office/drawing/2010/main" val="0"/>
            </a:ext>
          </a:extLst>
        </a:blip>
        <a:srcRect/>
        <a:stretch>
          <a:fillRect/>
        </a:stretch>
      </xdr:blipFill>
      <xdr:spPr bwMode="auto">
        <a:xfrm>
          <a:off x="7301749" y="28346401"/>
          <a:ext cx="1364259" cy="7524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76200</xdr:colOff>
      <xdr:row>41</xdr:row>
      <xdr:rowOff>1</xdr:rowOff>
    </xdr:from>
    <xdr:to>
      <xdr:col>2</xdr:col>
      <xdr:colOff>1721830</xdr:colOff>
      <xdr:row>41</xdr:row>
      <xdr:rowOff>710071</xdr:rowOff>
    </xdr:to>
    <xdr:pic>
      <xdr:nvPicPr>
        <xdr:cNvPr id="187" name="Picture 186">
          <a:extLst>
            <a:ext uri="{FF2B5EF4-FFF2-40B4-BE49-F238E27FC236}">
              <a16:creationId xmlns:a16="http://schemas.microsoft.com/office/drawing/2014/main" id="{00000000-0008-0000-0000-0000BB000000}"/>
            </a:ext>
          </a:extLst>
        </xdr:cNvPr>
        <xdr:cNvPicPr>
          <a:picLocks noChangeAspect="1" noChangeArrowheads="1"/>
        </xdr:cNvPicPr>
      </xdr:nvPicPr>
      <xdr:blipFill>
        <a:blip xmlns:r="http://schemas.openxmlformats.org/officeDocument/2006/relationships" r:embed="rId60" cstate="print">
          <a:extLst>
            <a:ext uri="{28A0092B-C50C-407E-A947-70E740481C1C}">
              <a14:useLocalDpi xmlns:a14="http://schemas.microsoft.com/office/drawing/2010/main" val="0"/>
            </a:ext>
          </a:extLst>
        </a:blip>
        <a:srcRect/>
        <a:stretch>
          <a:fillRect/>
        </a:stretch>
      </xdr:blipFill>
      <xdr:spPr bwMode="auto">
        <a:xfrm>
          <a:off x="4238625" y="29117926"/>
          <a:ext cx="1302730" cy="710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110374</xdr:colOff>
      <xdr:row>41</xdr:row>
      <xdr:rowOff>1</xdr:rowOff>
    </xdr:from>
    <xdr:to>
      <xdr:col>4</xdr:col>
      <xdr:colOff>1655608</xdr:colOff>
      <xdr:row>41</xdr:row>
      <xdr:rowOff>752475</xdr:rowOff>
    </xdr:to>
    <xdr:pic>
      <xdr:nvPicPr>
        <xdr:cNvPr id="188" name="Picture 187">
          <a:extLst>
            <a:ext uri="{FF2B5EF4-FFF2-40B4-BE49-F238E27FC236}">
              <a16:creationId xmlns:a16="http://schemas.microsoft.com/office/drawing/2014/main" id="{00000000-0008-0000-0000-0000BC000000}"/>
            </a:ext>
          </a:extLst>
        </xdr:cNvPr>
        <xdr:cNvPicPr>
          <a:picLocks noChangeAspect="1" noChangeArrowheads="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a:stretch>
          <a:fillRect/>
        </a:stretch>
      </xdr:blipFill>
      <xdr:spPr bwMode="auto">
        <a:xfrm>
          <a:off x="7301749" y="29117926"/>
          <a:ext cx="1364259" cy="7524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72273</xdr:colOff>
      <xdr:row>42</xdr:row>
      <xdr:rowOff>66675</xdr:rowOff>
    </xdr:from>
    <xdr:to>
      <xdr:col>2</xdr:col>
      <xdr:colOff>1909350</xdr:colOff>
      <xdr:row>42</xdr:row>
      <xdr:rowOff>914400</xdr:rowOff>
    </xdr:to>
    <xdr:pic>
      <xdr:nvPicPr>
        <xdr:cNvPr id="189" name="Picture 188">
          <a:extLst>
            <a:ext uri="{FF2B5EF4-FFF2-40B4-BE49-F238E27FC236}">
              <a16:creationId xmlns:a16="http://schemas.microsoft.com/office/drawing/2014/main" id="{00000000-0008-0000-0000-0000BD000000}"/>
            </a:ext>
          </a:extLst>
        </xdr:cNvPr>
        <xdr:cNvPicPr>
          <a:picLocks noChangeAspect="1" noChangeArrowheads="1"/>
        </xdr:cNvPicPr>
      </xdr:nvPicPr>
      <xdr:blipFill>
        <a:blip xmlns:r="http://schemas.openxmlformats.org/officeDocument/2006/relationships" r:embed="rId61" cstate="print">
          <a:extLst>
            <a:ext uri="{28A0092B-C50C-407E-A947-70E740481C1C}">
              <a14:useLocalDpi xmlns:a14="http://schemas.microsoft.com/office/drawing/2010/main" val="0"/>
            </a:ext>
          </a:extLst>
        </a:blip>
        <a:srcRect/>
        <a:stretch>
          <a:fillRect/>
        </a:stretch>
      </xdr:blipFill>
      <xdr:spPr bwMode="auto">
        <a:xfrm>
          <a:off x="4949073" y="35299650"/>
          <a:ext cx="1837077"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110374</xdr:colOff>
      <xdr:row>42</xdr:row>
      <xdr:rowOff>1</xdr:rowOff>
    </xdr:from>
    <xdr:to>
      <xdr:col>4</xdr:col>
      <xdr:colOff>1655608</xdr:colOff>
      <xdr:row>42</xdr:row>
      <xdr:rowOff>752475</xdr:rowOff>
    </xdr:to>
    <xdr:pic>
      <xdr:nvPicPr>
        <xdr:cNvPr id="190" name="Picture 189">
          <a:extLst>
            <a:ext uri="{FF2B5EF4-FFF2-40B4-BE49-F238E27FC236}">
              <a16:creationId xmlns:a16="http://schemas.microsoft.com/office/drawing/2014/main" id="{00000000-0008-0000-0000-0000BE000000}"/>
            </a:ext>
          </a:extLst>
        </xdr:cNvPr>
        <xdr:cNvPicPr>
          <a:picLocks noChangeAspect="1" noChangeArrowheads="1"/>
        </xdr:cNvPicPr>
      </xdr:nvPicPr>
      <xdr:blipFill>
        <a:blip xmlns:r="http://schemas.openxmlformats.org/officeDocument/2006/relationships" r:embed="rId56" cstate="print">
          <a:extLst>
            <a:ext uri="{28A0092B-C50C-407E-A947-70E740481C1C}">
              <a14:useLocalDpi xmlns:a14="http://schemas.microsoft.com/office/drawing/2010/main" val="0"/>
            </a:ext>
          </a:extLst>
        </a:blip>
        <a:srcRect/>
        <a:stretch>
          <a:fillRect/>
        </a:stretch>
      </xdr:blipFill>
      <xdr:spPr bwMode="auto">
        <a:xfrm>
          <a:off x="7301749" y="29889451"/>
          <a:ext cx="1364259" cy="7524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76200</xdr:colOff>
      <xdr:row>43</xdr:row>
      <xdr:rowOff>0</xdr:rowOff>
    </xdr:from>
    <xdr:to>
      <xdr:col>2</xdr:col>
      <xdr:colOff>1709730</xdr:colOff>
      <xdr:row>43</xdr:row>
      <xdr:rowOff>704849</xdr:rowOff>
    </xdr:to>
    <xdr:pic>
      <xdr:nvPicPr>
        <xdr:cNvPr id="191" name="Picture 190">
          <a:extLst>
            <a:ext uri="{FF2B5EF4-FFF2-40B4-BE49-F238E27FC236}">
              <a16:creationId xmlns:a16="http://schemas.microsoft.com/office/drawing/2014/main" id="{00000000-0008-0000-0000-0000BF000000}"/>
            </a:ext>
          </a:extLst>
        </xdr:cNvPr>
        <xdr:cNvPicPr>
          <a:picLocks noChangeAspect="1" noChangeArrowheads="1"/>
        </xdr:cNvPicPr>
      </xdr:nvPicPr>
      <xdr:blipFill>
        <a:blip xmlns:r="http://schemas.openxmlformats.org/officeDocument/2006/relationships" r:embed="rId62" cstate="print">
          <a:extLst>
            <a:ext uri="{28A0092B-C50C-407E-A947-70E740481C1C}">
              <a14:useLocalDpi xmlns:a14="http://schemas.microsoft.com/office/drawing/2010/main" val="0"/>
            </a:ext>
          </a:extLst>
        </a:blip>
        <a:srcRect/>
        <a:stretch>
          <a:fillRect/>
        </a:stretch>
      </xdr:blipFill>
      <xdr:spPr bwMode="auto">
        <a:xfrm>
          <a:off x="4238625" y="30660975"/>
          <a:ext cx="1309680" cy="704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110374</xdr:colOff>
      <xdr:row>43</xdr:row>
      <xdr:rowOff>1</xdr:rowOff>
    </xdr:from>
    <xdr:to>
      <xdr:col>4</xdr:col>
      <xdr:colOff>1655608</xdr:colOff>
      <xdr:row>43</xdr:row>
      <xdr:rowOff>752475</xdr:rowOff>
    </xdr:to>
    <xdr:pic>
      <xdr:nvPicPr>
        <xdr:cNvPr id="192" name="Picture 191">
          <a:extLst>
            <a:ext uri="{FF2B5EF4-FFF2-40B4-BE49-F238E27FC236}">
              <a16:creationId xmlns:a16="http://schemas.microsoft.com/office/drawing/2014/main" id="{00000000-0008-0000-0000-0000C0000000}"/>
            </a:ext>
          </a:extLst>
        </xdr:cNvPr>
        <xdr:cNvPicPr>
          <a:picLocks noChangeAspect="1" noChangeArrowheads="1"/>
        </xdr:cNvPicPr>
      </xdr:nvPicPr>
      <xdr:blipFill>
        <a:blip xmlns:r="http://schemas.openxmlformats.org/officeDocument/2006/relationships" r:embed="rId56" cstate="print">
          <a:extLst>
            <a:ext uri="{28A0092B-C50C-407E-A947-70E740481C1C}">
              <a14:useLocalDpi xmlns:a14="http://schemas.microsoft.com/office/drawing/2010/main" val="0"/>
            </a:ext>
          </a:extLst>
        </a:blip>
        <a:srcRect/>
        <a:stretch>
          <a:fillRect/>
        </a:stretch>
      </xdr:blipFill>
      <xdr:spPr bwMode="auto">
        <a:xfrm>
          <a:off x="7301749" y="30660976"/>
          <a:ext cx="1364259" cy="7524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76200</xdr:colOff>
      <xdr:row>43</xdr:row>
      <xdr:rowOff>0</xdr:rowOff>
    </xdr:from>
    <xdr:to>
      <xdr:col>2</xdr:col>
      <xdr:colOff>1709730</xdr:colOff>
      <xdr:row>43</xdr:row>
      <xdr:rowOff>704849</xdr:rowOff>
    </xdr:to>
    <xdr:pic>
      <xdr:nvPicPr>
        <xdr:cNvPr id="193" name="Picture 192">
          <a:extLst>
            <a:ext uri="{FF2B5EF4-FFF2-40B4-BE49-F238E27FC236}">
              <a16:creationId xmlns:a16="http://schemas.microsoft.com/office/drawing/2014/main" id="{00000000-0008-0000-0000-0000C1000000}"/>
            </a:ext>
          </a:extLst>
        </xdr:cNvPr>
        <xdr:cNvPicPr>
          <a:picLocks noChangeAspect="1" noChangeArrowheads="1"/>
        </xdr:cNvPicPr>
      </xdr:nvPicPr>
      <xdr:blipFill>
        <a:blip xmlns:r="http://schemas.openxmlformats.org/officeDocument/2006/relationships" r:embed="rId62" cstate="print">
          <a:extLst>
            <a:ext uri="{28A0092B-C50C-407E-A947-70E740481C1C}">
              <a14:useLocalDpi xmlns:a14="http://schemas.microsoft.com/office/drawing/2010/main" val="0"/>
            </a:ext>
          </a:extLst>
        </a:blip>
        <a:srcRect/>
        <a:stretch>
          <a:fillRect/>
        </a:stretch>
      </xdr:blipFill>
      <xdr:spPr bwMode="auto">
        <a:xfrm>
          <a:off x="4238625" y="30660975"/>
          <a:ext cx="1309680" cy="704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3600449</xdr:colOff>
      <xdr:row>44</xdr:row>
      <xdr:rowOff>19050</xdr:rowOff>
    </xdr:from>
    <xdr:to>
      <xdr:col>3</xdr:col>
      <xdr:colOff>5976</xdr:colOff>
      <xdr:row>45</xdr:row>
      <xdr:rowOff>0</xdr:rowOff>
    </xdr:to>
    <xdr:pic>
      <xdr:nvPicPr>
        <xdr:cNvPr id="194" name="Picture 193">
          <a:extLst>
            <a:ext uri="{FF2B5EF4-FFF2-40B4-BE49-F238E27FC236}">
              <a16:creationId xmlns:a16="http://schemas.microsoft.com/office/drawing/2014/main" id="{00000000-0008-0000-0000-0000C2000000}"/>
            </a:ext>
          </a:extLst>
        </xdr:cNvPr>
        <xdr:cNvPicPr>
          <a:picLocks noChangeAspect="1" noChangeArrowheads="1"/>
        </xdr:cNvPicPr>
      </xdr:nvPicPr>
      <xdr:blipFill>
        <a:blip xmlns:r="http://schemas.openxmlformats.org/officeDocument/2006/relationships" r:embed="rId63" cstate="print">
          <a:extLst>
            <a:ext uri="{28A0092B-C50C-407E-A947-70E740481C1C}">
              <a14:useLocalDpi xmlns:a14="http://schemas.microsoft.com/office/drawing/2010/main" val="0"/>
            </a:ext>
          </a:extLst>
        </a:blip>
        <a:srcRect/>
        <a:stretch>
          <a:fillRect/>
        </a:stretch>
      </xdr:blipFill>
      <xdr:spPr bwMode="auto">
        <a:xfrm>
          <a:off x="4162424" y="37033200"/>
          <a:ext cx="1920502"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110373</xdr:colOff>
      <xdr:row>44</xdr:row>
      <xdr:rowOff>0</xdr:rowOff>
    </xdr:from>
    <xdr:to>
      <xdr:col>5</xdr:col>
      <xdr:colOff>70541</xdr:colOff>
      <xdr:row>45</xdr:row>
      <xdr:rowOff>9524</xdr:rowOff>
    </xdr:to>
    <xdr:pic>
      <xdr:nvPicPr>
        <xdr:cNvPr id="195" name="Picture 194">
          <a:extLst>
            <a:ext uri="{FF2B5EF4-FFF2-40B4-BE49-F238E27FC236}">
              <a16:creationId xmlns:a16="http://schemas.microsoft.com/office/drawing/2014/main" id="{00000000-0008-0000-0000-0000C3000000}"/>
            </a:ext>
          </a:extLst>
        </xdr:cNvPr>
        <xdr:cNvPicPr>
          <a:picLocks noChangeAspect="1" noChangeArrowheads="1"/>
        </xdr:cNvPicPr>
      </xdr:nvPicPr>
      <xdr:blipFill>
        <a:blip xmlns:r="http://schemas.openxmlformats.org/officeDocument/2006/relationships" r:embed="rId56" cstate="print">
          <a:extLst>
            <a:ext uri="{28A0092B-C50C-407E-A947-70E740481C1C}">
              <a14:useLocalDpi xmlns:a14="http://schemas.microsoft.com/office/drawing/2010/main" val="0"/>
            </a:ext>
          </a:extLst>
        </a:blip>
        <a:srcRect/>
        <a:stretch>
          <a:fillRect/>
        </a:stretch>
      </xdr:blipFill>
      <xdr:spPr bwMode="auto">
        <a:xfrm>
          <a:off x="7911348" y="37014150"/>
          <a:ext cx="1760393" cy="857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45720</xdr:colOff>
      <xdr:row>88</xdr:row>
      <xdr:rowOff>60960</xdr:rowOff>
    </xdr:from>
    <xdr:to>
      <xdr:col>2</xdr:col>
      <xdr:colOff>0</xdr:colOff>
      <xdr:row>89</xdr:row>
      <xdr:rowOff>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7570" y="11481435"/>
          <a:ext cx="1011555" cy="6343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76201</xdr:colOff>
      <xdr:row>88</xdr:row>
      <xdr:rowOff>0</xdr:rowOff>
    </xdr:from>
    <xdr:to>
      <xdr:col>3</xdr:col>
      <xdr:colOff>1582883</xdr:colOff>
      <xdr:row>88</xdr:row>
      <xdr:rowOff>815339</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86501" y="11420475"/>
          <a:ext cx="954232" cy="6915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57150</xdr:colOff>
      <xdr:row>92</xdr:row>
      <xdr:rowOff>38099</xdr:rowOff>
    </xdr:from>
    <xdr:to>
      <xdr:col>1</xdr:col>
      <xdr:colOff>1571625</xdr:colOff>
      <xdr:row>93</xdr:row>
      <xdr:rowOff>2964</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00" y="14477999"/>
          <a:ext cx="1152525" cy="50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57151</xdr:colOff>
      <xdr:row>92</xdr:row>
      <xdr:rowOff>38100</xdr:rowOff>
    </xdr:from>
    <xdr:to>
      <xdr:col>3</xdr:col>
      <xdr:colOff>1506683</xdr:colOff>
      <xdr:row>92</xdr:row>
      <xdr:rowOff>717478</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19851" y="14478000"/>
          <a:ext cx="1259032" cy="5079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92</xdr:row>
      <xdr:rowOff>38099</xdr:rowOff>
    </xdr:from>
    <xdr:to>
      <xdr:col>1</xdr:col>
      <xdr:colOff>1571625</xdr:colOff>
      <xdr:row>93</xdr:row>
      <xdr:rowOff>2964</xdr:rowOff>
    </xdr:to>
    <xdr:pic>
      <xdr:nvPicPr>
        <xdr:cNvPr id="4" name="Picture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00" y="14477999"/>
          <a:ext cx="1152525" cy="50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38100</xdr:colOff>
      <xdr:row>104</xdr:row>
      <xdr:rowOff>0</xdr:rowOff>
    </xdr:from>
    <xdr:to>
      <xdr:col>1</xdr:col>
      <xdr:colOff>1767840</xdr:colOff>
      <xdr:row>104</xdr:row>
      <xdr:rowOff>833545</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9950" y="16563975"/>
          <a:ext cx="1015365" cy="376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104</xdr:row>
      <xdr:rowOff>30480</xdr:rowOff>
    </xdr:from>
    <xdr:to>
      <xdr:col>4</xdr:col>
      <xdr:colOff>0</xdr:colOff>
      <xdr:row>105</xdr:row>
      <xdr:rowOff>4693</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10300" y="16594455"/>
          <a:ext cx="1028700" cy="3552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104</xdr:row>
      <xdr:rowOff>19049</xdr:rowOff>
    </xdr:from>
    <xdr:to>
      <xdr:col>2</xdr:col>
      <xdr:colOff>9525</xdr:colOff>
      <xdr:row>104</xdr:row>
      <xdr:rowOff>933450</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1850" y="16773524"/>
          <a:ext cx="1066800" cy="361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104</xdr:row>
      <xdr:rowOff>19049</xdr:rowOff>
    </xdr:from>
    <xdr:to>
      <xdr:col>2</xdr:col>
      <xdr:colOff>9525</xdr:colOff>
      <xdr:row>104</xdr:row>
      <xdr:rowOff>933450</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1850" y="16773524"/>
          <a:ext cx="1066800" cy="361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104</xdr:row>
      <xdr:rowOff>19049</xdr:rowOff>
    </xdr:from>
    <xdr:to>
      <xdr:col>3</xdr:col>
      <xdr:colOff>1524000</xdr:colOff>
      <xdr:row>104</xdr:row>
      <xdr:rowOff>717162</xdr:rowOff>
    </xdr:to>
    <xdr:pic>
      <xdr:nvPicPr>
        <xdr:cNvPr id="4" name="Picture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10300" y="16773524"/>
          <a:ext cx="1028700" cy="364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104</xdr:row>
      <xdr:rowOff>19049</xdr:rowOff>
    </xdr:from>
    <xdr:to>
      <xdr:col>2</xdr:col>
      <xdr:colOff>9525</xdr:colOff>
      <xdr:row>104</xdr:row>
      <xdr:rowOff>933450</xdr:rowOff>
    </xdr:to>
    <xdr:pic>
      <xdr:nvPicPr>
        <xdr:cNvPr id="5" name="Picture 4">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1850" y="16773524"/>
          <a:ext cx="1066800" cy="361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104</xdr:row>
      <xdr:rowOff>19049</xdr:rowOff>
    </xdr:from>
    <xdr:to>
      <xdr:col>2</xdr:col>
      <xdr:colOff>9525</xdr:colOff>
      <xdr:row>104</xdr:row>
      <xdr:rowOff>933450</xdr:rowOff>
    </xdr:to>
    <xdr:pic>
      <xdr:nvPicPr>
        <xdr:cNvPr id="6" name="Picture 5">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1850" y="16773524"/>
          <a:ext cx="1066800" cy="361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104</xdr:row>
      <xdr:rowOff>19049</xdr:rowOff>
    </xdr:from>
    <xdr:to>
      <xdr:col>3</xdr:col>
      <xdr:colOff>1524000</xdr:colOff>
      <xdr:row>104</xdr:row>
      <xdr:rowOff>717162</xdr:rowOff>
    </xdr:to>
    <xdr:pic>
      <xdr:nvPicPr>
        <xdr:cNvPr id="7" name="Picture 6">
          <a:extLst>
            <a:ext uri="{FF2B5EF4-FFF2-40B4-BE49-F238E27FC236}">
              <a16:creationId xmlns:a16="http://schemas.microsoft.com/office/drawing/2014/main" id="{00000000-0008-0000-04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10300" y="16773524"/>
          <a:ext cx="1028700" cy="364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86</xdr:row>
      <xdr:rowOff>0</xdr:rowOff>
    </xdr:from>
    <xdr:to>
      <xdr:col>2</xdr:col>
      <xdr:colOff>0</xdr:colOff>
      <xdr:row>86</xdr:row>
      <xdr:rowOff>1009650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1850" y="12944475"/>
          <a:ext cx="105727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86</xdr:row>
      <xdr:rowOff>0</xdr:rowOff>
    </xdr:from>
    <xdr:to>
      <xdr:col>4</xdr:col>
      <xdr:colOff>0</xdr:colOff>
      <xdr:row>86</xdr:row>
      <xdr:rowOff>1009650</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10300" y="12944475"/>
          <a:ext cx="10287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72</xdr:row>
      <xdr:rowOff>0</xdr:rowOff>
    </xdr:from>
    <xdr:to>
      <xdr:col>1</xdr:col>
      <xdr:colOff>1714500</xdr:colOff>
      <xdr:row>73</xdr:row>
      <xdr:rowOff>0</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1850" y="10086975"/>
          <a:ext cx="105727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72</xdr:row>
      <xdr:rowOff>0</xdr:rowOff>
    </xdr:from>
    <xdr:to>
      <xdr:col>3</xdr:col>
      <xdr:colOff>1714500</xdr:colOff>
      <xdr:row>73</xdr:row>
      <xdr:rowOff>0</xdr:rowOff>
    </xdr:to>
    <xdr:pic>
      <xdr:nvPicPr>
        <xdr:cNvPr id="3" name="Picture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10300" y="10086975"/>
          <a:ext cx="10287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104775</xdr:colOff>
      <xdr:row>109</xdr:row>
      <xdr:rowOff>40085</xdr:rowOff>
    </xdr:from>
    <xdr:to>
      <xdr:col>2</xdr:col>
      <xdr:colOff>1905</xdr:colOff>
      <xdr:row>109</xdr:row>
      <xdr:rowOff>695325</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76625" y="12984560"/>
          <a:ext cx="954405" cy="340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109</xdr:row>
      <xdr:rowOff>0</xdr:rowOff>
    </xdr:from>
    <xdr:to>
      <xdr:col>3</xdr:col>
      <xdr:colOff>1515341</xdr:colOff>
      <xdr:row>109</xdr:row>
      <xdr:rowOff>722679</xdr:rowOff>
    </xdr:to>
    <xdr:pic>
      <xdr:nvPicPr>
        <xdr:cNvPr id="3" name="Picture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10300" y="12944475"/>
          <a:ext cx="1029566" cy="3797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60960</xdr:colOff>
      <xdr:row>85</xdr:row>
      <xdr:rowOff>22860</xdr:rowOff>
    </xdr:from>
    <xdr:to>
      <xdr:col>1</xdr:col>
      <xdr:colOff>1047750</xdr:colOff>
      <xdr:row>85</xdr:row>
      <xdr:rowOff>815340</xdr:rowOff>
    </xdr:to>
    <xdr:pic>
      <xdr:nvPicPr>
        <xdr:cNvPr id="2" name="Picture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09035" y="11824335"/>
          <a:ext cx="986790"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85</xdr:row>
      <xdr:rowOff>15240</xdr:rowOff>
    </xdr:from>
    <xdr:to>
      <xdr:col>3</xdr:col>
      <xdr:colOff>1024890</xdr:colOff>
      <xdr:row>85</xdr:row>
      <xdr:rowOff>807720</xdr:rowOff>
    </xdr:to>
    <xdr:pic>
      <xdr:nvPicPr>
        <xdr:cNvPr id="3" name="Picture 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24625" y="11816715"/>
          <a:ext cx="986790"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85726</xdr:colOff>
      <xdr:row>49</xdr:row>
      <xdr:rowOff>19050</xdr:rowOff>
    </xdr:from>
    <xdr:to>
      <xdr:col>1</xdr:col>
      <xdr:colOff>1657350</xdr:colOff>
      <xdr:row>49</xdr:row>
      <xdr:rowOff>723901</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57576" y="5724525"/>
          <a:ext cx="971549" cy="361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49</xdr:row>
      <xdr:rowOff>38099</xdr:rowOff>
    </xdr:from>
    <xdr:to>
      <xdr:col>3</xdr:col>
      <xdr:colOff>1472351</xdr:colOff>
      <xdr:row>49</xdr:row>
      <xdr:rowOff>701387</xdr:rowOff>
    </xdr:to>
    <xdr:pic>
      <xdr:nvPicPr>
        <xdr:cNvPr id="3" name="Picture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67450" y="5743574"/>
          <a:ext cx="967526" cy="339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30480</xdr:colOff>
      <xdr:row>50</xdr:row>
      <xdr:rowOff>713740</xdr:rowOff>
    </xdr:from>
    <xdr:to>
      <xdr:col>2</xdr:col>
      <xdr:colOff>1270</xdr:colOff>
      <xdr:row>51</xdr:row>
      <xdr:rowOff>696385</xdr:rowOff>
    </xdr:to>
    <xdr:pic>
      <xdr:nvPicPr>
        <xdr:cNvPr id="2" name="Picture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2330" y="5895340"/>
          <a:ext cx="1028065" cy="382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xdr:colOff>
      <xdr:row>51</xdr:row>
      <xdr:rowOff>7620</xdr:rowOff>
    </xdr:from>
    <xdr:to>
      <xdr:col>4</xdr:col>
      <xdr:colOff>7620</xdr:colOff>
      <xdr:row>51</xdr:row>
      <xdr:rowOff>705733</xdr:rowOff>
    </xdr:to>
    <xdr:pic>
      <xdr:nvPicPr>
        <xdr:cNvPr id="3" name="Picture 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17920" y="5903595"/>
          <a:ext cx="1028700" cy="3742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0</xdr:colOff>
      <xdr:row>51</xdr:row>
      <xdr:rowOff>19049</xdr:rowOff>
    </xdr:from>
    <xdr:to>
      <xdr:col>3</xdr:col>
      <xdr:colOff>1524000</xdr:colOff>
      <xdr:row>51</xdr:row>
      <xdr:rowOff>717162</xdr:rowOff>
    </xdr:to>
    <xdr:pic>
      <xdr:nvPicPr>
        <xdr:cNvPr id="3" name="Picture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300" y="5915024"/>
          <a:ext cx="1028700" cy="364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51</xdr:row>
      <xdr:rowOff>1</xdr:rowOff>
    </xdr:from>
    <xdr:to>
      <xdr:col>2</xdr:col>
      <xdr:colOff>9525</xdr:colOff>
      <xdr:row>52</xdr:row>
      <xdr:rowOff>1</xdr:rowOff>
    </xdr:to>
    <xdr:pic>
      <xdr:nvPicPr>
        <xdr:cNvPr id="4" name="Picture 3">
          <a:extLst>
            <a:ext uri="{FF2B5EF4-FFF2-40B4-BE49-F238E27FC236}">
              <a16:creationId xmlns:a16="http://schemas.microsoft.com/office/drawing/2014/main" id="{00000000-0008-0000-0B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33950" y="11249026"/>
          <a:ext cx="1323975" cy="666750"/>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xdr:from>
      <xdr:col>3</xdr:col>
      <xdr:colOff>0</xdr:colOff>
      <xdr:row>49</xdr:row>
      <xdr:rowOff>0</xdr:rowOff>
    </xdr:from>
    <xdr:to>
      <xdr:col>4</xdr:col>
      <xdr:colOff>0</xdr:colOff>
      <xdr:row>50</xdr:row>
      <xdr:rowOff>0</xdr:rowOff>
    </xdr:to>
    <xdr:pic>
      <xdr:nvPicPr>
        <xdr:cNvPr id="2" name="Picture 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300" y="5895975"/>
          <a:ext cx="10287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xdr:colOff>
      <xdr:row>49</xdr:row>
      <xdr:rowOff>0</xdr:rowOff>
    </xdr:from>
    <xdr:to>
      <xdr:col>2</xdr:col>
      <xdr:colOff>1</xdr:colOff>
      <xdr:row>49</xdr:row>
      <xdr:rowOff>590550</xdr:rowOff>
    </xdr:to>
    <xdr:pic>
      <xdr:nvPicPr>
        <xdr:cNvPr id="4" name="Picture 3">
          <a:extLst>
            <a:ext uri="{FF2B5EF4-FFF2-40B4-BE49-F238E27FC236}">
              <a16:creationId xmlns:a16="http://schemas.microsoft.com/office/drawing/2014/main" id="{00000000-0008-0000-0C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33951" y="10858500"/>
          <a:ext cx="1314450" cy="590550"/>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xdr:from>
      <xdr:col>3</xdr:col>
      <xdr:colOff>0</xdr:colOff>
      <xdr:row>50</xdr:row>
      <xdr:rowOff>0</xdr:rowOff>
    </xdr:from>
    <xdr:to>
      <xdr:col>3</xdr:col>
      <xdr:colOff>1714500</xdr:colOff>
      <xdr:row>50</xdr:row>
      <xdr:rowOff>838200</xdr:rowOff>
    </xdr:to>
    <xdr:pic>
      <xdr:nvPicPr>
        <xdr:cNvPr id="2" name="Picture 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300" y="5895975"/>
          <a:ext cx="10287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50</xdr:row>
      <xdr:rowOff>0</xdr:rowOff>
    </xdr:from>
    <xdr:to>
      <xdr:col>1</xdr:col>
      <xdr:colOff>1304925</xdr:colOff>
      <xdr:row>50</xdr:row>
      <xdr:rowOff>790575</xdr:rowOff>
    </xdr:to>
    <xdr:pic>
      <xdr:nvPicPr>
        <xdr:cNvPr id="4" name="Picture 3">
          <a:extLst>
            <a:ext uri="{FF2B5EF4-FFF2-40B4-BE49-F238E27FC236}">
              <a16:creationId xmlns:a16="http://schemas.microsoft.com/office/drawing/2014/main" id="{00000000-0008-0000-0D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33950" y="11058525"/>
          <a:ext cx="1304925" cy="790575"/>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xdr:from>
      <xdr:col>3</xdr:col>
      <xdr:colOff>91440</xdr:colOff>
      <xdr:row>94</xdr:row>
      <xdr:rowOff>716280</xdr:rowOff>
    </xdr:from>
    <xdr:to>
      <xdr:col>3</xdr:col>
      <xdr:colOff>1396365</xdr:colOff>
      <xdr:row>95</xdr:row>
      <xdr:rowOff>716280</xdr:rowOff>
    </xdr:to>
    <xdr:pic>
      <xdr:nvPicPr>
        <xdr:cNvPr id="3" name="Picture 2">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1740" y="11041380"/>
          <a:ext cx="93345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95</xdr:row>
      <xdr:rowOff>0</xdr:rowOff>
    </xdr:from>
    <xdr:to>
      <xdr:col>1</xdr:col>
      <xdr:colOff>1304925</xdr:colOff>
      <xdr:row>96</xdr:row>
      <xdr:rowOff>9525</xdr:rowOff>
    </xdr:to>
    <xdr:pic>
      <xdr:nvPicPr>
        <xdr:cNvPr id="6" name="Picture 5">
          <a:extLst>
            <a:ext uri="{FF2B5EF4-FFF2-40B4-BE49-F238E27FC236}">
              <a16:creationId xmlns:a16="http://schemas.microsoft.com/office/drawing/2014/main" id="{00000000-0008-0000-0E00-000006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33950" y="19631025"/>
          <a:ext cx="1304925" cy="809625"/>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99</xdr:row>
      <xdr:rowOff>0</xdr:rowOff>
    </xdr:from>
    <xdr:to>
      <xdr:col>1</xdr:col>
      <xdr:colOff>1666876</xdr:colOff>
      <xdr:row>100</xdr:row>
      <xdr:rowOff>0</xdr:rowOff>
    </xdr:to>
    <xdr:pic>
      <xdr:nvPicPr>
        <xdr:cNvPr id="2" name="Picture 3">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1850" y="14658975"/>
          <a:ext cx="1057276"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99</xdr:row>
      <xdr:rowOff>0</xdr:rowOff>
    </xdr:from>
    <xdr:to>
      <xdr:col>3</xdr:col>
      <xdr:colOff>1524000</xdr:colOff>
      <xdr:row>100</xdr:row>
      <xdr:rowOff>1697</xdr:rowOff>
    </xdr:to>
    <xdr:pic>
      <xdr:nvPicPr>
        <xdr:cNvPr id="3" name="Picture 2">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10300" y="14658975"/>
          <a:ext cx="1028700" cy="3826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47624</xdr:colOff>
      <xdr:row>132</xdr:row>
      <xdr:rowOff>1</xdr:rowOff>
    </xdr:from>
    <xdr:to>
      <xdr:col>1</xdr:col>
      <xdr:colOff>1714500</xdr:colOff>
      <xdr:row>132</xdr:row>
      <xdr:rowOff>723901</xdr:rowOff>
    </xdr:to>
    <xdr:pic>
      <xdr:nvPicPr>
        <xdr:cNvPr id="2" name="Picture 3">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9474" y="21135976"/>
          <a:ext cx="1009651"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xdr:colOff>
      <xdr:row>132</xdr:row>
      <xdr:rowOff>0</xdr:rowOff>
    </xdr:from>
    <xdr:to>
      <xdr:col>3</xdr:col>
      <xdr:colOff>1524001</xdr:colOff>
      <xdr:row>132</xdr:row>
      <xdr:rowOff>706547</xdr:rowOff>
    </xdr:to>
    <xdr:pic>
      <xdr:nvPicPr>
        <xdr:cNvPr id="3" name="Picture 3">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10301" y="21135975"/>
          <a:ext cx="1028700" cy="3826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xdr:col>
      <xdr:colOff>66674</xdr:colOff>
      <xdr:row>68</xdr:row>
      <xdr:rowOff>361950</xdr:rowOff>
    </xdr:from>
    <xdr:to>
      <xdr:col>1</xdr:col>
      <xdr:colOff>1257299</xdr:colOff>
      <xdr:row>69</xdr:row>
      <xdr:rowOff>695325</xdr:rowOff>
    </xdr:to>
    <xdr:pic>
      <xdr:nvPicPr>
        <xdr:cNvPr id="2" name="Picture 1">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00624" y="14658975"/>
          <a:ext cx="11906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69</xdr:row>
      <xdr:rowOff>1</xdr:rowOff>
    </xdr:from>
    <xdr:to>
      <xdr:col>3</xdr:col>
      <xdr:colOff>1493145</xdr:colOff>
      <xdr:row>69</xdr:row>
      <xdr:rowOff>684069</xdr:rowOff>
    </xdr:to>
    <xdr:pic>
      <xdr:nvPicPr>
        <xdr:cNvPr id="3" name="Picture 2">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10300" y="4752976"/>
          <a:ext cx="1026420" cy="417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104774</xdr:colOff>
      <xdr:row>462</xdr:row>
      <xdr:rowOff>0</xdr:rowOff>
    </xdr:from>
    <xdr:to>
      <xdr:col>1</xdr:col>
      <xdr:colOff>1714499</xdr:colOff>
      <xdr:row>462</xdr:row>
      <xdr:rowOff>733425</xdr:rowOff>
    </xdr:to>
    <xdr:pic>
      <xdr:nvPicPr>
        <xdr:cNvPr id="2" name="Picture 1">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38724" y="88953975"/>
          <a:ext cx="120967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xdr:colOff>
      <xdr:row>462</xdr:row>
      <xdr:rowOff>1</xdr:rowOff>
    </xdr:from>
    <xdr:to>
      <xdr:col>3</xdr:col>
      <xdr:colOff>1543051</xdr:colOff>
      <xdr:row>462</xdr:row>
      <xdr:rowOff>723901</xdr:rowOff>
    </xdr:to>
    <xdr:pic>
      <xdr:nvPicPr>
        <xdr:cNvPr id="3" name="Picture 2">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29576" y="88953976"/>
          <a:ext cx="102870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104774</xdr:colOff>
      <xdr:row>462</xdr:row>
      <xdr:rowOff>0</xdr:rowOff>
    </xdr:from>
    <xdr:to>
      <xdr:col>1</xdr:col>
      <xdr:colOff>1714499</xdr:colOff>
      <xdr:row>462</xdr:row>
      <xdr:rowOff>733425</xdr:rowOff>
    </xdr:to>
    <xdr:pic>
      <xdr:nvPicPr>
        <xdr:cNvPr id="4" name="Picture 3">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38724" y="88953975"/>
          <a:ext cx="120967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xdr:colOff>
      <xdr:row>462</xdr:row>
      <xdr:rowOff>1</xdr:rowOff>
    </xdr:from>
    <xdr:to>
      <xdr:col>3</xdr:col>
      <xdr:colOff>1543051</xdr:colOff>
      <xdr:row>462</xdr:row>
      <xdr:rowOff>723901</xdr:rowOff>
    </xdr:to>
    <xdr:pic>
      <xdr:nvPicPr>
        <xdr:cNvPr id="5" name="Picture 4">
          <a:extLst>
            <a:ext uri="{FF2B5EF4-FFF2-40B4-BE49-F238E27FC236}">
              <a16:creationId xmlns:a16="http://schemas.microsoft.com/office/drawing/2014/main" id="{00000000-0008-0000-12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29576" y="88953976"/>
          <a:ext cx="102870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289</xdr:row>
      <xdr:rowOff>0</xdr:rowOff>
    </xdr:from>
    <xdr:to>
      <xdr:col>2</xdr:col>
      <xdr:colOff>1905</xdr:colOff>
      <xdr:row>289</xdr:row>
      <xdr:rowOff>594360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55044975"/>
          <a:ext cx="1316355" cy="594360"/>
        </a:xfrm>
        <a:prstGeom prst="rect">
          <a:avLst/>
        </a:prstGeom>
        <a:noFill/>
        <a:ln>
          <a:noFill/>
        </a:ln>
      </xdr:spPr>
    </xdr:pic>
    <xdr:clientData/>
  </xdr:twoCellAnchor>
  <xdr:twoCellAnchor editAs="oneCell">
    <xdr:from>
      <xdr:col>3</xdr:col>
      <xdr:colOff>0</xdr:colOff>
      <xdr:row>289</xdr:row>
      <xdr:rowOff>1</xdr:rowOff>
    </xdr:from>
    <xdr:to>
      <xdr:col>4</xdr:col>
      <xdr:colOff>3031</xdr:colOff>
      <xdr:row>289</xdr:row>
      <xdr:rowOff>617221</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8029575" y="55044976"/>
          <a:ext cx="1031731" cy="61722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1</xdr:col>
      <xdr:colOff>57150</xdr:colOff>
      <xdr:row>150</xdr:row>
      <xdr:rowOff>0</xdr:rowOff>
    </xdr:from>
    <xdr:to>
      <xdr:col>1</xdr:col>
      <xdr:colOff>1695450</xdr:colOff>
      <xdr:row>150</xdr:row>
      <xdr:rowOff>723900</xdr:rowOff>
    </xdr:to>
    <xdr:pic>
      <xdr:nvPicPr>
        <xdr:cNvPr id="2" name="Picture 1">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91100" y="29708475"/>
          <a:ext cx="125730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150</xdr:row>
      <xdr:rowOff>0</xdr:rowOff>
    </xdr:from>
    <xdr:to>
      <xdr:col>3</xdr:col>
      <xdr:colOff>1466850</xdr:colOff>
      <xdr:row>151</xdr:row>
      <xdr:rowOff>0</xdr:rowOff>
    </xdr:to>
    <xdr:pic>
      <xdr:nvPicPr>
        <xdr:cNvPr id="3" name="Picture 2">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29575" y="29708475"/>
          <a:ext cx="10287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1</xdr:col>
      <xdr:colOff>38099</xdr:colOff>
      <xdr:row>111</xdr:row>
      <xdr:rowOff>0</xdr:rowOff>
    </xdr:from>
    <xdr:to>
      <xdr:col>1</xdr:col>
      <xdr:colOff>1685924</xdr:colOff>
      <xdr:row>111</xdr:row>
      <xdr:rowOff>714375</xdr:rowOff>
    </xdr:to>
    <xdr:pic>
      <xdr:nvPicPr>
        <xdr:cNvPr id="2" name="Picture 1">
          <a:extLst>
            <a:ext uri="{FF2B5EF4-FFF2-40B4-BE49-F238E27FC236}">
              <a16:creationId xmlns:a16="http://schemas.microsoft.com/office/drawing/2014/main" id="{00000000-0008-0000-1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72049" y="22469475"/>
          <a:ext cx="12763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111</xdr:row>
      <xdr:rowOff>0</xdr:rowOff>
    </xdr:from>
    <xdr:to>
      <xdr:col>3</xdr:col>
      <xdr:colOff>1504950</xdr:colOff>
      <xdr:row>112</xdr:row>
      <xdr:rowOff>0</xdr:rowOff>
    </xdr:to>
    <xdr:pic>
      <xdr:nvPicPr>
        <xdr:cNvPr id="3" name="Picture 2">
          <a:extLst>
            <a:ext uri="{FF2B5EF4-FFF2-40B4-BE49-F238E27FC236}">
              <a16:creationId xmlns:a16="http://schemas.microsoft.com/office/drawing/2014/main" id="{00000000-0008-0000-15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29575" y="22469475"/>
          <a:ext cx="10287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66674</xdr:colOff>
      <xdr:row>109</xdr:row>
      <xdr:rowOff>0</xdr:rowOff>
    </xdr:from>
    <xdr:to>
      <xdr:col>1</xdr:col>
      <xdr:colOff>1714500</xdr:colOff>
      <xdr:row>109</xdr:row>
      <xdr:rowOff>762000</xdr:rowOff>
    </xdr:to>
    <xdr:pic>
      <xdr:nvPicPr>
        <xdr:cNvPr id="2" name="Picture 1">
          <a:extLst>
            <a:ext uri="{FF2B5EF4-FFF2-40B4-BE49-F238E27FC236}">
              <a16:creationId xmlns:a16="http://schemas.microsoft.com/office/drawing/2014/main" id="{00000000-0008-0000-1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00624" y="21326475"/>
          <a:ext cx="1247776"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109</xdr:row>
      <xdr:rowOff>0</xdr:rowOff>
    </xdr:from>
    <xdr:to>
      <xdr:col>3</xdr:col>
      <xdr:colOff>1428750</xdr:colOff>
      <xdr:row>110</xdr:row>
      <xdr:rowOff>0</xdr:rowOff>
    </xdr:to>
    <xdr:pic>
      <xdr:nvPicPr>
        <xdr:cNvPr id="3" name="Picture 2">
          <a:extLst>
            <a:ext uri="{FF2B5EF4-FFF2-40B4-BE49-F238E27FC236}">
              <a16:creationId xmlns:a16="http://schemas.microsoft.com/office/drawing/2014/main" id="{00000000-0008-0000-16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29575" y="21326475"/>
          <a:ext cx="102870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1</xdr:col>
      <xdr:colOff>30481</xdr:colOff>
      <xdr:row>119</xdr:row>
      <xdr:rowOff>0</xdr:rowOff>
    </xdr:from>
    <xdr:to>
      <xdr:col>2</xdr:col>
      <xdr:colOff>1905</xdr:colOff>
      <xdr:row>120</xdr:row>
      <xdr:rowOff>22860</xdr:rowOff>
    </xdr:to>
    <xdr:pic>
      <xdr:nvPicPr>
        <xdr:cNvPr id="2" name="Picture 1">
          <a:extLst>
            <a:ext uri="{FF2B5EF4-FFF2-40B4-BE49-F238E27FC236}">
              <a16:creationId xmlns:a16="http://schemas.microsoft.com/office/drawing/2014/main" id="{00000000-0008-0000-1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64431" y="23612475"/>
          <a:ext cx="1285874" cy="994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133349</xdr:colOff>
      <xdr:row>119</xdr:row>
      <xdr:rowOff>0</xdr:rowOff>
    </xdr:from>
    <xdr:to>
      <xdr:col>3</xdr:col>
      <xdr:colOff>1685924</xdr:colOff>
      <xdr:row>120</xdr:row>
      <xdr:rowOff>0</xdr:rowOff>
    </xdr:to>
    <xdr:pic>
      <xdr:nvPicPr>
        <xdr:cNvPr id="3" name="Picture 2">
          <a:extLst>
            <a:ext uri="{FF2B5EF4-FFF2-40B4-BE49-F238E27FC236}">
              <a16:creationId xmlns:a16="http://schemas.microsoft.com/office/drawing/2014/main" id="{00000000-0008-0000-17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62924" y="23612475"/>
          <a:ext cx="8953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30481</xdr:colOff>
      <xdr:row>119</xdr:row>
      <xdr:rowOff>0</xdr:rowOff>
    </xdr:from>
    <xdr:to>
      <xdr:col>2</xdr:col>
      <xdr:colOff>1905</xdr:colOff>
      <xdr:row>120</xdr:row>
      <xdr:rowOff>22860</xdr:rowOff>
    </xdr:to>
    <xdr:pic>
      <xdr:nvPicPr>
        <xdr:cNvPr id="4" name="Picture 3">
          <a:extLst>
            <a:ext uri="{FF2B5EF4-FFF2-40B4-BE49-F238E27FC236}">
              <a16:creationId xmlns:a16="http://schemas.microsoft.com/office/drawing/2014/main" id="{00000000-0008-0000-17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64431" y="23612475"/>
          <a:ext cx="1285874" cy="994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1</xdr:col>
      <xdr:colOff>95250</xdr:colOff>
      <xdr:row>129</xdr:row>
      <xdr:rowOff>15240</xdr:rowOff>
    </xdr:from>
    <xdr:to>
      <xdr:col>1</xdr:col>
      <xdr:colOff>1421130</xdr:colOff>
      <xdr:row>130</xdr:row>
      <xdr:rowOff>0</xdr:rowOff>
    </xdr:to>
    <xdr:pic>
      <xdr:nvPicPr>
        <xdr:cNvPr id="2" name="Picture 1">
          <a:extLst>
            <a:ext uri="{FF2B5EF4-FFF2-40B4-BE49-F238E27FC236}">
              <a16:creationId xmlns:a16="http://schemas.microsoft.com/office/drawing/2014/main" id="{00000000-0008-0000-1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29200" y="25532715"/>
          <a:ext cx="1221105" cy="737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129</xdr:row>
      <xdr:rowOff>0</xdr:rowOff>
    </xdr:from>
    <xdr:to>
      <xdr:col>3</xdr:col>
      <xdr:colOff>1695450</xdr:colOff>
      <xdr:row>129</xdr:row>
      <xdr:rowOff>723900</xdr:rowOff>
    </xdr:to>
    <xdr:pic>
      <xdr:nvPicPr>
        <xdr:cNvPr id="3" name="Picture 2">
          <a:extLst>
            <a:ext uri="{FF2B5EF4-FFF2-40B4-BE49-F238E27FC236}">
              <a16:creationId xmlns:a16="http://schemas.microsoft.com/office/drawing/2014/main" id="{00000000-0008-0000-18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24825" y="25517475"/>
          <a:ext cx="93345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3</xdr:col>
      <xdr:colOff>0</xdr:colOff>
      <xdr:row>217</xdr:row>
      <xdr:rowOff>0</xdr:rowOff>
    </xdr:from>
    <xdr:to>
      <xdr:col>3</xdr:col>
      <xdr:colOff>1524000</xdr:colOff>
      <xdr:row>217</xdr:row>
      <xdr:rowOff>714375</xdr:rowOff>
    </xdr:to>
    <xdr:pic>
      <xdr:nvPicPr>
        <xdr:cNvPr id="2" name="Picture 1">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9575" y="42471975"/>
          <a:ext cx="10287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217</xdr:row>
      <xdr:rowOff>0</xdr:rowOff>
    </xdr:from>
    <xdr:to>
      <xdr:col>1</xdr:col>
      <xdr:colOff>1145854</xdr:colOff>
      <xdr:row>217</xdr:row>
      <xdr:rowOff>762000</xdr:rowOff>
    </xdr:to>
    <xdr:pic>
      <xdr:nvPicPr>
        <xdr:cNvPr id="3" name="Picture 2">
          <a:extLst>
            <a:ext uri="{FF2B5EF4-FFF2-40B4-BE49-F238E27FC236}">
              <a16:creationId xmlns:a16="http://schemas.microsoft.com/office/drawing/2014/main" id="{00000000-0008-0000-19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33950" y="42471975"/>
          <a:ext cx="1145854"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1</xdr:col>
      <xdr:colOff>67228</xdr:colOff>
      <xdr:row>93</xdr:row>
      <xdr:rowOff>22860</xdr:rowOff>
    </xdr:from>
    <xdr:to>
      <xdr:col>1</xdr:col>
      <xdr:colOff>1423035</xdr:colOff>
      <xdr:row>94</xdr:row>
      <xdr:rowOff>22860</xdr:rowOff>
    </xdr:to>
    <xdr:pic>
      <xdr:nvPicPr>
        <xdr:cNvPr id="2" name="Picture 1">
          <a:extLst>
            <a:ext uri="{FF2B5EF4-FFF2-40B4-BE49-F238E27FC236}">
              <a16:creationId xmlns:a16="http://schemas.microsoft.com/office/drawing/2014/main" id="{00000000-0008-0000-1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01178" y="18682335"/>
          <a:ext cx="1251032"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67228</xdr:colOff>
      <xdr:row>93</xdr:row>
      <xdr:rowOff>29008</xdr:rowOff>
    </xdr:from>
    <xdr:to>
      <xdr:col>3</xdr:col>
      <xdr:colOff>1704975</xdr:colOff>
      <xdr:row>93</xdr:row>
      <xdr:rowOff>735676</xdr:rowOff>
    </xdr:to>
    <xdr:pic>
      <xdr:nvPicPr>
        <xdr:cNvPr id="3" name="Picture 2">
          <a:extLst>
            <a:ext uri="{FF2B5EF4-FFF2-40B4-BE49-F238E27FC236}">
              <a16:creationId xmlns:a16="http://schemas.microsoft.com/office/drawing/2014/main" id="{00000000-0008-0000-1A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6803" y="18688483"/>
          <a:ext cx="961472" cy="6590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67228</xdr:colOff>
      <xdr:row>93</xdr:row>
      <xdr:rowOff>22860</xdr:rowOff>
    </xdr:from>
    <xdr:to>
      <xdr:col>1</xdr:col>
      <xdr:colOff>1423035</xdr:colOff>
      <xdr:row>94</xdr:row>
      <xdr:rowOff>22860</xdr:rowOff>
    </xdr:to>
    <xdr:pic>
      <xdr:nvPicPr>
        <xdr:cNvPr id="4" name="Picture 3">
          <a:extLst>
            <a:ext uri="{FF2B5EF4-FFF2-40B4-BE49-F238E27FC236}">
              <a16:creationId xmlns:a16="http://schemas.microsoft.com/office/drawing/2014/main" id="{00000000-0008-0000-1A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01178" y="18682335"/>
          <a:ext cx="1251032"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104774</xdr:colOff>
      <xdr:row>116</xdr:row>
      <xdr:rowOff>24764</xdr:rowOff>
    </xdr:from>
    <xdr:to>
      <xdr:col>1</xdr:col>
      <xdr:colOff>1638299</xdr:colOff>
      <xdr:row>116</xdr:row>
      <xdr:rowOff>823122</xdr:rowOff>
    </xdr:to>
    <xdr:pic>
      <xdr:nvPicPr>
        <xdr:cNvPr id="2" name="Picture 1">
          <a:extLst>
            <a:ext uri="{FF2B5EF4-FFF2-40B4-BE49-F238E27FC236}">
              <a16:creationId xmlns:a16="http://schemas.microsoft.com/office/drawing/2014/main" id="{00000000-0008-0000-1B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38724" y="23132414"/>
          <a:ext cx="1209675" cy="779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104774</xdr:colOff>
      <xdr:row>115</xdr:row>
      <xdr:rowOff>771524</xdr:rowOff>
    </xdr:from>
    <xdr:to>
      <xdr:col>3</xdr:col>
      <xdr:colOff>1638299</xdr:colOff>
      <xdr:row>116</xdr:row>
      <xdr:rowOff>701202</xdr:rowOff>
    </xdr:to>
    <xdr:pic>
      <xdr:nvPicPr>
        <xdr:cNvPr id="3" name="Picture 2">
          <a:extLst>
            <a:ext uri="{FF2B5EF4-FFF2-40B4-BE49-F238E27FC236}">
              <a16:creationId xmlns:a16="http://schemas.microsoft.com/office/drawing/2014/main" id="{00000000-0008-0000-1B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34349" y="23107649"/>
          <a:ext cx="923925" cy="701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104774</xdr:colOff>
      <xdr:row>116</xdr:row>
      <xdr:rowOff>24764</xdr:rowOff>
    </xdr:from>
    <xdr:to>
      <xdr:col>1</xdr:col>
      <xdr:colOff>1638299</xdr:colOff>
      <xdr:row>116</xdr:row>
      <xdr:rowOff>823122</xdr:rowOff>
    </xdr:to>
    <xdr:pic>
      <xdr:nvPicPr>
        <xdr:cNvPr id="4" name="Picture 3">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38724" y="23132414"/>
          <a:ext cx="1209675" cy="779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1</xdr:col>
      <xdr:colOff>68580</xdr:colOff>
      <xdr:row>298</xdr:row>
      <xdr:rowOff>0</xdr:rowOff>
    </xdr:from>
    <xdr:to>
      <xdr:col>1</xdr:col>
      <xdr:colOff>1702114</xdr:colOff>
      <xdr:row>298</xdr:row>
      <xdr:rowOff>838200</xdr:rowOff>
    </xdr:to>
    <xdr:pic>
      <xdr:nvPicPr>
        <xdr:cNvPr id="2" name="Picture 1">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02530" y="57902475"/>
          <a:ext cx="1243009"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30480</xdr:colOff>
      <xdr:row>298</xdr:row>
      <xdr:rowOff>15240</xdr:rowOff>
    </xdr:from>
    <xdr:to>
      <xdr:col>3</xdr:col>
      <xdr:colOff>1664014</xdr:colOff>
      <xdr:row>298</xdr:row>
      <xdr:rowOff>853440</xdr:rowOff>
    </xdr:to>
    <xdr:pic>
      <xdr:nvPicPr>
        <xdr:cNvPr id="3" name="Picture 2">
          <a:extLst>
            <a:ext uri="{FF2B5EF4-FFF2-40B4-BE49-F238E27FC236}">
              <a16:creationId xmlns:a16="http://schemas.microsoft.com/office/drawing/2014/main" id="{00000000-0008-0000-1C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60055" y="57917715"/>
          <a:ext cx="995359"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1</xdr:col>
      <xdr:colOff>58106</xdr:colOff>
      <xdr:row>115</xdr:row>
      <xdr:rowOff>15240</xdr:rowOff>
    </xdr:from>
    <xdr:to>
      <xdr:col>1</xdr:col>
      <xdr:colOff>1333500</xdr:colOff>
      <xdr:row>115</xdr:row>
      <xdr:rowOff>822960</xdr:rowOff>
    </xdr:to>
    <xdr:pic>
      <xdr:nvPicPr>
        <xdr:cNvPr id="2" name="Picture 1">
          <a:extLst>
            <a:ext uri="{FF2B5EF4-FFF2-40B4-BE49-F238E27FC236}">
              <a16:creationId xmlns:a16="http://schemas.microsoft.com/office/drawing/2014/main" id="{00000000-0008-0000-1D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92056" y="23056215"/>
          <a:ext cx="1256344" cy="807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42866</xdr:colOff>
      <xdr:row>115</xdr:row>
      <xdr:rowOff>0</xdr:rowOff>
    </xdr:from>
    <xdr:to>
      <xdr:col>3</xdr:col>
      <xdr:colOff>1021080</xdr:colOff>
      <xdr:row>115</xdr:row>
      <xdr:rowOff>807720</xdr:rowOff>
    </xdr:to>
    <xdr:pic>
      <xdr:nvPicPr>
        <xdr:cNvPr id="3" name="Picture 2">
          <a:extLst>
            <a:ext uri="{FF2B5EF4-FFF2-40B4-BE49-F238E27FC236}">
              <a16:creationId xmlns:a16="http://schemas.microsoft.com/office/drawing/2014/main" id="{00000000-0008-0000-1D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72441" y="23040975"/>
          <a:ext cx="978214" cy="807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85725</xdr:colOff>
      <xdr:row>60</xdr:row>
      <xdr:rowOff>0</xdr:rowOff>
    </xdr:from>
    <xdr:to>
      <xdr:col>1</xdr:col>
      <xdr:colOff>1666874</xdr:colOff>
      <xdr:row>60</xdr:row>
      <xdr:rowOff>682248</xdr:rowOff>
    </xdr:to>
    <xdr:pic>
      <xdr:nvPicPr>
        <xdr:cNvPr id="2" name="Picture 1">
          <a:extLst>
            <a:ext uri="{FF2B5EF4-FFF2-40B4-BE49-F238E27FC236}">
              <a16:creationId xmlns:a16="http://schemas.microsoft.com/office/drawing/2014/main" id="{00000000-0008-0000-1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19675" y="12801600"/>
          <a:ext cx="1228724" cy="682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80966</xdr:colOff>
      <xdr:row>60</xdr:row>
      <xdr:rowOff>0</xdr:rowOff>
    </xdr:from>
    <xdr:to>
      <xdr:col>3</xdr:col>
      <xdr:colOff>1714500</xdr:colOff>
      <xdr:row>60</xdr:row>
      <xdr:rowOff>704850</xdr:rowOff>
    </xdr:to>
    <xdr:pic>
      <xdr:nvPicPr>
        <xdr:cNvPr id="3" name="Picture 2">
          <a:extLst>
            <a:ext uri="{FF2B5EF4-FFF2-40B4-BE49-F238E27FC236}">
              <a16:creationId xmlns:a16="http://schemas.microsoft.com/office/drawing/2014/main" id="{00000000-0008-0000-1E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10541" y="12801600"/>
          <a:ext cx="947734"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1</xdr:col>
      <xdr:colOff>96539</xdr:colOff>
      <xdr:row>167</xdr:row>
      <xdr:rowOff>0</xdr:rowOff>
    </xdr:from>
    <xdr:to>
      <xdr:col>1</xdr:col>
      <xdr:colOff>1685924</xdr:colOff>
      <xdr:row>167</xdr:row>
      <xdr:rowOff>685800</xdr:rowOff>
    </xdr:to>
    <xdr:pic>
      <xdr:nvPicPr>
        <xdr:cNvPr id="2" name="Picture 1">
          <a:extLst>
            <a:ext uri="{FF2B5EF4-FFF2-40B4-BE49-F238E27FC236}">
              <a16:creationId xmlns:a16="http://schemas.microsoft.com/office/drawing/2014/main" id="{00000000-0008-0000-1F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30489" y="32565975"/>
          <a:ext cx="121791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95250</xdr:colOff>
      <xdr:row>167</xdr:row>
      <xdr:rowOff>76201</xdr:rowOff>
    </xdr:from>
    <xdr:to>
      <xdr:col>3</xdr:col>
      <xdr:colOff>1168221</xdr:colOff>
      <xdr:row>167</xdr:row>
      <xdr:rowOff>693421</xdr:rowOff>
    </xdr:to>
    <xdr:pic>
      <xdr:nvPicPr>
        <xdr:cNvPr id="3" name="Picture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2"/>
        <a:stretch>
          <a:fillRect/>
        </a:stretch>
      </xdr:blipFill>
      <xdr:spPr>
        <a:xfrm>
          <a:off x="9477375" y="33489901"/>
          <a:ext cx="1072971" cy="61722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1</xdr:col>
      <xdr:colOff>44149</xdr:colOff>
      <xdr:row>113</xdr:row>
      <xdr:rowOff>0</xdr:rowOff>
    </xdr:from>
    <xdr:to>
      <xdr:col>1</xdr:col>
      <xdr:colOff>1721832</xdr:colOff>
      <xdr:row>113</xdr:row>
      <xdr:rowOff>723900</xdr:rowOff>
    </xdr:to>
    <xdr:pic>
      <xdr:nvPicPr>
        <xdr:cNvPr id="2" name="Picture 1">
          <a:extLst>
            <a:ext uri="{FF2B5EF4-FFF2-40B4-BE49-F238E27FC236}">
              <a16:creationId xmlns:a16="http://schemas.microsoft.com/office/drawing/2014/main" id="{00000000-0008-0000-2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78099" y="22659975"/>
          <a:ext cx="1268108"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28575</xdr:colOff>
      <xdr:row>113</xdr:row>
      <xdr:rowOff>49530</xdr:rowOff>
    </xdr:from>
    <xdr:ext cx="1114425" cy="659130"/>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2"/>
        <a:stretch>
          <a:fillRect/>
        </a:stretch>
      </xdr:blipFill>
      <xdr:spPr>
        <a:xfrm>
          <a:off x="8058150" y="22709505"/>
          <a:ext cx="1114425" cy="659130"/>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twoCellAnchor>
    <xdr:from>
      <xdr:col>1</xdr:col>
      <xdr:colOff>67168</xdr:colOff>
      <xdr:row>74</xdr:row>
      <xdr:rowOff>47625</xdr:rowOff>
    </xdr:from>
    <xdr:to>
      <xdr:col>1</xdr:col>
      <xdr:colOff>1349418</xdr:colOff>
      <xdr:row>74</xdr:row>
      <xdr:rowOff>769620</xdr:rowOff>
    </xdr:to>
    <xdr:pic>
      <xdr:nvPicPr>
        <xdr:cNvPr id="2" name="Picture 1">
          <a:extLst>
            <a:ext uri="{FF2B5EF4-FFF2-40B4-BE49-F238E27FC236}">
              <a16:creationId xmlns:a16="http://schemas.microsoft.com/office/drawing/2014/main" id="{00000000-0008-0000-2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01118" y="15278100"/>
          <a:ext cx="1244150" cy="7219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74</xdr:row>
      <xdr:rowOff>0</xdr:rowOff>
    </xdr:from>
    <xdr:to>
      <xdr:col>3</xdr:col>
      <xdr:colOff>1524000</xdr:colOff>
      <xdr:row>74</xdr:row>
      <xdr:rowOff>694107</xdr:rowOff>
    </xdr:to>
    <xdr:pic>
      <xdr:nvPicPr>
        <xdr:cNvPr id="3" name="Picture 2">
          <a:extLst>
            <a:ext uri="{FF2B5EF4-FFF2-40B4-BE49-F238E27FC236}">
              <a16:creationId xmlns:a16="http://schemas.microsoft.com/office/drawing/2014/main" id="{00000000-0008-0000-2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29575" y="15230475"/>
          <a:ext cx="1028700" cy="6941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3</xdr:col>
      <xdr:colOff>0</xdr:colOff>
      <xdr:row>123</xdr:row>
      <xdr:rowOff>0</xdr:rowOff>
    </xdr:from>
    <xdr:to>
      <xdr:col>4</xdr:col>
      <xdr:colOff>0</xdr:colOff>
      <xdr:row>123</xdr:row>
      <xdr:rowOff>694107</xdr:rowOff>
    </xdr:to>
    <xdr:pic>
      <xdr:nvPicPr>
        <xdr:cNvPr id="2" name="Picture 1">
          <a:extLst>
            <a:ext uri="{FF2B5EF4-FFF2-40B4-BE49-F238E27FC236}">
              <a16:creationId xmlns:a16="http://schemas.microsoft.com/office/drawing/2014/main" id="{00000000-0008-0000-2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9575" y="24183975"/>
          <a:ext cx="1028700" cy="6845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123</xdr:row>
      <xdr:rowOff>1</xdr:rowOff>
    </xdr:from>
    <xdr:to>
      <xdr:col>2</xdr:col>
      <xdr:colOff>0</xdr:colOff>
      <xdr:row>123</xdr:row>
      <xdr:rowOff>685801</xdr:rowOff>
    </xdr:to>
    <xdr:pic>
      <xdr:nvPicPr>
        <xdr:cNvPr id="3" name="Picture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33950" y="24183976"/>
          <a:ext cx="1314450" cy="685800"/>
        </a:xfrm>
        <a:prstGeom prst="rect">
          <a:avLst/>
        </a:prstGeom>
        <a:noFill/>
        <a:ln>
          <a:noFill/>
        </a:ln>
      </xdr:spPr>
    </xdr:pic>
    <xdr:clientData/>
  </xdr:twoCellAnchor>
</xdr:wsDr>
</file>

<file path=xl/drawings/drawing36.xml><?xml version="1.0" encoding="utf-8"?>
<xdr:wsDr xmlns:xdr="http://schemas.openxmlformats.org/drawingml/2006/spreadsheetDrawing" xmlns:a="http://schemas.openxmlformats.org/drawingml/2006/main">
  <xdr:twoCellAnchor>
    <xdr:from>
      <xdr:col>1</xdr:col>
      <xdr:colOff>110374</xdr:colOff>
      <xdr:row>47</xdr:row>
      <xdr:rowOff>1</xdr:rowOff>
    </xdr:from>
    <xdr:to>
      <xdr:col>1</xdr:col>
      <xdr:colOff>1655608</xdr:colOff>
      <xdr:row>47</xdr:row>
      <xdr:rowOff>752475</xdr:rowOff>
    </xdr:to>
    <xdr:pic>
      <xdr:nvPicPr>
        <xdr:cNvPr id="2" name="Picture 1">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4324" y="10086976"/>
          <a:ext cx="1202334" cy="647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110374</xdr:colOff>
      <xdr:row>47</xdr:row>
      <xdr:rowOff>1</xdr:rowOff>
    </xdr:from>
    <xdr:to>
      <xdr:col>3</xdr:col>
      <xdr:colOff>1655608</xdr:colOff>
      <xdr:row>47</xdr:row>
      <xdr:rowOff>752475</xdr:rowOff>
    </xdr:to>
    <xdr:pic>
      <xdr:nvPicPr>
        <xdr:cNvPr id="3" name="Picture 2">
          <a:extLst>
            <a:ext uri="{FF2B5EF4-FFF2-40B4-BE49-F238E27FC236}">
              <a16:creationId xmlns:a16="http://schemas.microsoft.com/office/drawing/2014/main" id="{00000000-0008-0000-2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39949" y="10086976"/>
          <a:ext cx="916584" cy="647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1</xdr:col>
      <xdr:colOff>44149</xdr:colOff>
      <xdr:row>46</xdr:row>
      <xdr:rowOff>0</xdr:rowOff>
    </xdr:from>
    <xdr:to>
      <xdr:col>1</xdr:col>
      <xdr:colOff>1677682</xdr:colOff>
      <xdr:row>46</xdr:row>
      <xdr:rowOff>704850</xdr:rowOff>
    </xdr:to>
    <xdr:pic>
      <xdr:nvPicPr>
        <xdr:cNvPr id="2" name="Picture 1">
          <a:extLst>
            <a:ext uri="{FF2B5EF4-FFF2-40B4-BE49-F238E27FC236}">
              <a16:creationId xmlns:a16="http://schemas.microsoft.com/office/drawing/2014/main" id="{00000000-0008-0000-2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78099" y="10086975"/>
          <a:ext cx="1271583"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110374</xdr:colOff>
      <xdr:row>46</xdr:row>
      <xdr:rowOff>1</xdr:rowOff>
    </xdr:from>
    <xdr:to>
      <xdr:col>3</xdr:col>
      <xdr:colOff>1655608</xdr:colOff>
      <xdr:row>46</xdr:row>
      <xdr:rowOff>752475</xdr:rowOff>
    </xdr:to>
    <xdr:pic>
      <xdr:nvPicPr>
        <xdr:cNvPr id="3" name="Picture 2">
          <a:extLst>
            <a:ext uri="{FF2B5EF4-FFF2-40B4-BE49-F238E27FC236}">
              <a16:creationId xmlns:a16="http://schemas.microsoft.com/office/drawing/2014/main" id="{00000000-0008-0000-24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39949" y="10086976"/>
          <a:ext cx="916584" cy="647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1</xdr:col>
      <xdr:colOff>49365</xdr:colOff>
      <xdr:row>97</xdr:row>
      <xdr:rowOff>0</xdr:rowOff>
    </xdr:from>
    <xdr:to>
      <xdr:col>1</xdr:col>
      <xdr:colOff>1704974</xdr:colOff>
      <xdr:row>97</xdr:row>
      <xdr:rowOff>714375</xdr:rowOff>
    </xdr:to>
    <xdr:pic>
      <xdr:nvPicPr>
        <xdr:cNvPr id="2" name="Picture 1">
          <a:extLst>
            <a:ext uri="{FF2B5EF4-FFF2-40B4-BE49-F238E27FC236}">
              <a16:creationId xmlns:a16="http://schemas.microsoft.com/office/drawing/2014/main" id="{00000000-0008-0000-2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83315" y="19421475"/>
          <a:ext cx="1265084"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110374</xdr:colOff>
      <xdr:row>97</xdr:row>
      <xdr:rowOff>1</xdr:rowOff>
    </xdr:from>
    <xdr:to>
      <xdr:col>3</xdr:col>
      <xdr:colOff>1655608</xdr:colOff>
      <xdr:row>97</xdr:row>
      <xdr:rowOff>752475</xdr:rowOff>
    </xdr:to>
    <xdr:pic>
      <xdr:nvPicPr>
        <xdr:cNvPr id="3" name="Picture 2">
          <a:extLst>
            <a:ext uri="{FF2B5EF4-FFF2-40B4-BE49-F238E27FC236}">
              <a16:creationId xmlns:a16="http://schemas.microsoft.com/office/drawing/2014/main" id="{00000000-0008-0000-25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39949" y="19421476"/>
          <a:ext cx="916584" cy="628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76200</xdr:colOff>
      <xdr:row>47</xdr:row>
      <xdr:rowOff>1</xdr:rowOff>
    </xdr:from>
    <xdr:to>
      <xdr:col>1</xdr:col>
      <xdr:colOff>1721830</xdr:colOff>
      <xdr:row>47</xdr:row>
      <xdr:rowOff>710071</xdr:rowOff>
    </xdr:to>
    <xdr:pic>
      <xdr:nvPicPr>
        <xdr:cNvPr id="2" name="Picture 1">
          <a:extLst>
            <a:ext uri="{FF2B5EF4-FFF2-40B4-BE49-F238E27FC236}">
              <a16:creationId xmlns:a16="http://schemas.microsoft.com/office/drawing/2014/main" id="{00000000-0008-0000-2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10150" y="9705976"/>
          <a:ext cx="1236055" cy="614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110374</xdr:colOff>
      <xdr:row>47</xdr:row>
      <xdr:rowOff>1</xdr:rowOff>
    </xdr:from>
    <xdr:to>
      <xdr:col>3</xdr:col>
      <xdr:colOff>1655608</xdr:colOff>
      <xdr:row>47</xdr:row>
      <xdr:rowOff>752475</xdr:rowOff>
    </xdr:to>
    <xdr:pic>
      <xdr:nvPicPr>
        <xdr:cNvPr id="3" name="Picture 2">
          <a:extLst>
            <a:ext uri="{FF2B5EF4-FFF2-40B4-BE49-F238E27FC236}">
              <a16:creationId xmlns:a16="http://schemas.microsoft.com/office/drawing/2014/main" id="{00000000-0008-0000-26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39949" y="9705976"/>
          <a:ext cx="916584" cy="619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1</xdr:col>
      <xdr:colOff>110373</xdr:colOff>
      <xdr:row>46</xdr:row>
      <xdr:rowOff>0</xdr:rowOff>
    </xdr:from>
    <xdr:to>
      <xdr:col>1</xdr:col>
      <xdr:colOff>1699754</xdr:colOff>
      <xdr:row>46</xdr:row>
      <xdr:rowOff>733425</xdr:rowOff>
    </xdr:to>
    <xdr:pic>
      <xdr:nvPicPr>
        <xdr:cNvPr id="2" name="Picture 1">
          <a:extLst>
            <a:ext uri="{FF2B5EF4-FFF2-40B4-BE49-F238E27FC236}">
              <a16:creationId xmlns:a16="http://schemas.microsoft.com/office/drawing/2014/main" id="{00000000-0008-0000-2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4323" y="9896475"/>
          <a:ext cx="1208381"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110374</xdr:colOff>
      <xdr:row>46</xdr:row>
      <xdr:rowOff>1</xdr:rowOff>
    </xdr:from>
    <xdr:to>
      <xdr:col>3</xdr:col>
      <xdr:colOff>1655608</xdr:colOff>
      <xdr:row>46</xdr:row>
      <xdr:rowOff>752475</xdr:rowOff>
    </xdr:to>
    <xdr:pic>
      <xdr:nvPicPr>
        <xdr:cNvPr id="3" name="Picture 2">
          <a:extLst>
            <a:ext uri="{FF2B5EF4-FFF2-40B4-BE49-F238E27FC236}">
              <a16:creationId xmlns:a16="http://schemas.microsoft.com/office/drawing/2014/main" id="{00000000-0008-0000-27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39949" y="9896476"/>
          <a:ext cx="916584" cy="685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1</xdr:col>
      <xdr:colOff>76200</xdr:colOff>
      <xdr:row>47</xdr:row>
      <xdr:rowOff>0</xdr:rowOff>
    </xdr:from>
    <xdr:to>
      <xdr:col>1</xdr:col>
      <xdr:colOff>1709730</xdr:colOff>
      <xdr:row>47</xdr:row>
      <xdr:rowOff>704849</xdr:rowOff>
    </xdr:to>
    <xdr:pic>
      <xdr:nvPicPr>
        <xdr:cNvPr id="2" name="Picture 1">
          <a:extLst>
            <a:ext uri="{FF2B5EF4-FFF2-40B4-BE49-F238E27FC236}">
              <a16:creationId xmlns:a16="http://schemas.microsoft.com/office/drawing/2014/main" id="{00000000-0008-0000-2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10150" y="9896475"/>
          <a:ext cx="1243005" cy="666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110374</xdr:colOff>
      <xdr:row>47</xdr:row>
      <xdr:rowOff>1</xdr:rowOff>
    </xdr:from>
    <xdr:to>
      <xdr:col>3</xdr:col>
      <xdr:colOff>1655608</xdr:colOff>
      <xdr:row>47</xdr:row>
      <xdr:rowOff>752475</xdr:rowOff>
    </xdr:to>
    <xdr:pic>
      <xdr:nvPicPr>
        <xdr:cNvPr id="3" name="Picture 2">
          <a:extLst>
            <a:ext uri="{FF2B5EF4-FFF2-40B4-BE49-F238E27FC236}">
              <a16:creationId xmlns:a16="http://schemas.microsoft.com/office/drawing/2014/main" id="{00000000-0008-0000-28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39949" y="9896476"/>
          <a:ext cx="916584" cy="666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76200</xdr:colOff>
      <xdr:row>47</xdr:row>
      <xdr:rowOff>0</xdr:rowOff>
    </xdr:from>
    <xdr:to>
      <xdr:col>1</xdr:col>
      <xdr:colOff>1709730</xdr:colOff>
      <xdr:row>47</xdr:row>
      <xdr:rowOff>704849</xdr:rowOff>
    </xdr:to>
    <xdr:pic>
      <xdr:nvPicPr>
        <xdr:cNvPr id="4" name="Picture 3">
          <a:extLst>
            <a:ext uri="{FF2B5EF4-FFF2-40B4-BE49-F238E27FC236}">
              <a16:creationId xmlns:a16="http://schemas.microsoft.com/office/drawing/2014/main" id="{00000000-0008-0000-28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10150" y="9896475"/>
          <a:ext cx="1243005" cy="666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1</xdr:col>
      <xdr:colOff>104774</xdr:colOff>
      <xdr:row>47</xdr:row>
      <xdr:rowOff>0</xdr:rowOff>
    </xdr:from>
    <xdr:to>
      <xdr:col>1</xdr:col>
      <xdr:colOff>1672080</xdr:colOff>
      <xdr:row>47</xdr:row>
      <xdr:rowOff>676275</xdr:rowOff>
    </xdr:to>
    <xdr:pic>
      <xdr:nvPicPr>
        <xdr:cNvPr id="2" name="Picture 1">
          <a:extLst>
            <a:ext uri="{FF2B5EF4-FFF2-40B4-BE49-F238E27FC236}">
              <a16:creationId xmlns:a16="http://schemas.microsoft.com/office/drawing/2014/main" id="{00000000-0008-0000-2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38724" y="9896475"/>
          <a:ext cx="1205356"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110374</xdr:colOff>
      <xdr:row>47</xdr:row>
      <xdr:rowOff>1</xdr:rowOff>
    </xdr:from>
    <xdr:to>
      <xdr:col>3</xdr:col>
      <xdr:colOff>1655608</xdr:colOff>
      <xdr:row>47</xdr:row>
      <xdr:rowOff>752475</xdr:rowOff>
    </xdr:to>
    <xdr:pic>
      <xdr:nvPicPr>
        <xdr:cNvPr id="3" name="Picture 2">
          <a:extLst>
            <a:ext uri="{FF2B5EF4-FFF2-40B4-BE49-F238E27FC236}">
              <a16:creationId xmlns:a16="http://schemas.microsoft.com/office/drawing/2014/main" id="{00000000-0008-0000-29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39949" y="9896476"/>
          <a:ext cx="916584" cy="600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6"/>
  <sheetViews>
    <sheetView tabSelected="1" workbookViewId="0">
      <selection sqref="A1:E1"/>
    </sheetView>
  </sheetViews>
  <sheetFormatPr defaultRowHeight="15" x14ac:dyDescent="0.25"/>
  <cols>
    <col min="1" max="1" width="9.28515625" bestFit="1" customWidth="1"/>
    <col min="2" max="2" width="64.7109375" customWidth="1"/>
    <col min="3" max="3" width="28.7109375" customWidth="1"/>
    <col min="4" max="4" width="25.85546875" customWidth="1"/>
    <col min="5" max="5" width="27" customWidth="1"/>
  </cols>
  <sheetData>
    <row r="1" spans="1:5" s="1" customFormat="1" x14ac:dyDescent="0.25">
      <c r="A1" s="149" t="s">
        <v>1563</v>
      </c>
      <c r="B1" s="149"/>
      <c r="C1" s="149"/>
      <c r="D1" s="149"/>
      <c r="E1" s="149"/>
    </row>
    <row r="2" spans="1:5" s="1" customFormat="1" x14ac:dyDescent="0.25">
      <c r="A2" s="149" t="s">
        <v>1612</v>
      </c>
      <c r="B2" s="149"/>
      <c r="C2" s="149"/>
      <c r="D2" s="149"/>
      <c r="E2" s="149"/>
    </row>
    <row r="3" spans="1:5" s="1" customFormat="1" ht="3.75" customHeight="1" x14ac:dyDescent="0.25">
      <c r="A3" s="150"/>
      <c r="B3" s="150"/>
      <c r="C3" s="150"/>
      <c r="D3" s="150"/>
      <c r="E3" s="150"/>
    </row>
    <row r="4" spans="1:5" ht="41.25" customHeight="1" x14ac:dyDescent="0.25">
      <c r="A4" s="150" t="s">
        <v>1562</v>
      </c>
      <c r="B4" s="150" t="s">
        <v>2340</v>
      </c>
      <c r="C4" s="151" t="s">
        <v>2081</v>
      </c>
      <c r="D4" s="151" t="s">
        <v>2044</v>
      </c>
      <c r="E4" s="151" t="s">
        <v>2045</v>
      </c>
    </row>
    <row r="5" spans="1:5" ht="63" customHeight="1" x14ac:dyDescent="0.25">
      <c r="A5" s="152" t="s">
        <v>1564</v>
      </c>
      <c r="B5" s="153" t="str">
        <f>HYPERLINK("[EDEL_Portfolio HY 31032022.xlsx]EDACBF!A1","Edelweiss Money Market Fund")</f>
        <v>Edelweiss Money Market Fund</v>
      </c>
      <c r="C5" s="154"/>
      <c r="D5" s="154" t="s">
        <v>2046</v>
      </c>
      <c r="E5" s="154"/>
    </row>
    <row r="6" spans="1:5" ht="51" customHeight="1" x14ac:dyDescent="0.25">
      <c r="A6" s="152" t="s">
        <v>1565</v>
      </c>
      <c r="B6" s="153" t="str">
        <f>HYPERLINK("[EDEL_Portfolio HY 31032022.xlsx]EDBE23!A1","BHARAT Bond ETF - April 2023")</f>
        <v>BHARAT Bond ETF - April 2023</v>
      </c>
      <c r="C6" s="154"/>
      <c r="D6" s="155" t="s">
        <v>2047</v>
      </c>
      <c r="E6" s="154"/>
    </row>
    <row r="7" spans="1:5" ht="51" customHeight="1" x14ac:dyDescent="0.25">
      <c r="A7" s="152" t="s">
        <v>1566</v>
      </c>
      <c r="B7" s="153" t="str">
        <f>HYPERLINK("[EDEL_Portfolio HY 31032022.xlsx]EDBE25!A1","BHARAT Bond ETF - April 2025")</f>
        <v>BHARAT Bond ETF - April 2025</v>
      </c>
      <c r="C7" s="113"/>
      <c r="D7" s="155" t="s">
        <v>2048</v>
      </c>
      <c r="E7" s="113"/>
    </row>
    <row r="8" spans="1:5" ht="81" customHeight="1" x14ac:dyDescent="0.25">
      <c r="A8" s="152" t="s">
        <v>1567</v>
      </c>
      <c r="B8" s="153" t="str">
        <f>HYPERLINK("[EDEL_Portfolio HY 31032022.xlsx]EDBE30!A1","BHARAT Bond ETF - April 2030")</f>
        <v>BHARAT Bond ETF - April 2030</v>
      </c>
      <c r="C8" s="154"/>
      <c r="D8" s="155" t="s">
        <v>2049</v>
      </c>
      <c r="E8" s="154"/>
    </row>
    <row r="9" spans="1:5" ht="51" customHeight="1" x14ac:dyDescent="0.25">
      <c r="A9" s="152" t="s">
        <v>1568</v>
      </c>
      <c r="B9" s="153" t="str">
        <f>HYPERLINK("[EDEL_Portfolio HY 31032022.xlsx]EDBE31!A1","BHARAT Bond ETF - April 2031")</f>
        <v>BHARAT Bond ETF - April 2031</v>
      </c>
      <c r="C9" s="154"/>
      <c r="D9" s="155" t="s">
        <v>2050</v>
      </c>
      <c r="E9" s="154"/>
    </row>
    <row r="10" spans="1:5" ht="54" customHeight="1" x14ac:dyDescent="0.25">
      <c r="A10" s="152" t="s">
        <v>1569</v>
      </c>
      <c r="B10" s="153" t="str">
        <f>HYPERLINK("[EDEL_Portfolio HY 31032022.xlsx]EDBE32!A1","BHARAT Bond ETF - April 2032")</f>
        <v>BHARAT Bond ETF - April 2032</v>
      </c>
      <c r="C10" s="152"/>
      <c r="D10" s="155" t="s">
        <v>2051</v>
      </c>
      <c r="E10" s="152"/>
    </row>
    <row r="11" spans="1:5" ht="57.75" customHeight="1" x14ac:dyDescent="0.25">
      <c r="A11" s="152" t="s">
        <v>1570</v>
      </c>
      <c r="B11" s="153" t="str">
        <f>HYPERLINK("[EDEL_Portfolio HY 31032022.xlsx]EDBPDF!A1","Edelweiss Banking and PSU Debt Fund")</f>
        <v>Edelweiss Banking and PSU Debt Fund</v>
      </c>
      <c r="C11" s="154"/>
      <c r="D11" s="155" t="s">
        <v>2052</v>
      </c>
      <c r="E11" s="154"/>
    </row>
    <row r="12" spans="1:5" ht="75.75" customHeight="1" x14ac:dyDescent="0.25">
      <c r="A12" s="152" t="s">
        <v>1571</v>
      </c>
      <c r="B12" s="153" t="str">
        <f>HYPERLINK("[EDEL_Portfolio HY 31032022.xlsx]EDCPSF!A1","Edelweiss CRL PSU PL SDL 50 50 Oct-25 FD")</f>
        <v>Edelweiss CRL PSU PL SDL 50 50 Oct-25 FD</v>
      </c>
      <c r="C12" s="152"/>
      <c r="D12" s="156" t="s">
        <v>2082</v>
      </c>
      <c r="E12" s="152"/>
    </row>
    <row r="13" spans="1:5" ht="74.25" customHeight="1" x14ac:dyDescent="0.25">
      <c r="A13" s="152" t="s">
        <v>1572</v>
      </c>
      <c r="B13" s="153" t="str">
        <f>HYPERLINK("[EDEL_Portfolio HY 31032022.xlsx]EDFF23!A1","BHARAT Bond FOF - April 2023")</f>
        <v>BHARAT Bond FOF - April 2023</v>
      </c>
      <c r="C13" s="154"/>
      <c r="D13" s="155" t="s">
        <v>2047</v>
      </c>
      <c r="E13" s="154"/>
    </row>
    <row r="14" spans="1:5" ht="64.5" customHeight="1" x14ac:dyDescent="0.25">
      <c r="A14" s="152" t="s">
        <v>1573</v>
      </c>
      <c r="B14" s="153" t="str">
        <f>HYPERLINK("[EDEL_Portfolio HY 31032022.xlsx]EDFF25!A1","BHARAT Bond FOF - April 2025")</f>
        <v>BHARAT Bond FOF - April 2025</v>
      </c>
      <c r="C14" s="154"/>
      <c r="D14" s="155" t="s">
        <v>2047</v>
      </c>
      <c r="E14" s="113"/>
    </row>
    <row r="15" spans="1:5" ht="72.75" customHeight="1" x14ac:dyDescent="0.25">
      <c r="A15" s="152" t="s">
        <v>1574</v>
      </c>
      <c r="B15" s="153" t="str">
        <f>HYPERLINK("[EDEL_Portfolio HY 31032022.xlsx]EDFF30!A1","BHARAT Bond FOF - April 2030")</f>
        <v>BHARAT Bond FOF - April 2030</v>
      </c>
      <c r="C15" s="154"/>
      <c r="D15" s="155" t="s">
        <v>2049</v>
      </c>
      <c r="E15" s="154"/>
    </row>
    <row r="16" spans="1:5" ht="72.75" customHeight="1" x14ac:dyDescent="0.25">
      <c r="A16" s="152" t="s">
        <v>1575</v>
      </c>
      <c r="B16" s="153" t="str">
        <f>HYPERLINK("[EDEL_Portfolio HY 31032022.xlsx]EDFF31!A1","BHARAT Bond FOF - April 2031")</f>
        <v>BHARAT Bond FOF - April 2031</v>
      </c>
      <c r="C16" s="154"/>
      <c r="D16" s="155" t="s">
        <v>2050</v>
      </c>
      <c r="E16" s="154"/>
    </row>
    <row r="17" spans="1:5" ht="66" customHeight="1" x14ac:dyDescent="0.25">
      <c r="A17" s="152" t="s">
        <v>1576</v>
      </c>
      <c r="B17" s="153" t="str">
        <f>HYPERLINK("[EDEL_Portfolio HY 31032022.xlsx]EDFF32!A1","BHARAT Bond FOF - April 2032")</f>
        <v>BHARAT Bond FOF - April 2032</v>
      </c>
      <c r="C17" s="152"/>
      <c r="D17" s="155" t="s">
        <v>2051</v>
      </c>
      <c r="E17" s="152"/>
    </row>
    <row r="18" spans="1:5" ht="67.5" customHeight="1" x14ac:dyDescent="0.25">
      <c r="A18" s="152" t="s">
        <v>1577</v>
      </c>
      <c r="B18" s="153" t="str">
        <f>HYPERLINK("[EDEL_Portfolio HY 31032022.xlsx]EDGSEC!A1","Edelweiss Government Securities Fund")</f>
        <v>Edelweiss Government Securities Fund</v>
      </c>
      <c r="C18" s="154"/>
      <c r="D18" s="154" t="s">
        <v>2055</v>
      </c>
      <c r="E18" s="154"/>
    </row>
    <row r="19" spans="1:5" ht="66" customHeight="1" x14ac:dyDescent="0.25">
      <c r="A19" s="152" t="s">
        <v>1578</v>
      </c>
      <c r="B19" s="153" t="str">
        <f>HYPERLINK("[EDEL_Portfolio HY 31032022.xlsx]EDNP27!A1","Edelweiss NY PSU BD PL SDL IDX Fund-2027")</f>
        <v>Edelweiss NY PSU BD PL SDL IDX Fund-2027</v>
      </c>
      <c r="C19" s="154"/>
      <c r="D19" s="155" t="s">
        <v>2056</v>
      </c>
      <c r="E19" s="154"/>
    </row>
    <row r="20" spans="1:5" ht="70.5" customHeight="1" x14ac:dyDescent="0.25">
      <c r="A20" s="152" t="s">
        <v>1579</v>
      </c>
      <c r="B20" s="153" t="str">
        <f>HYPERLINK("[EDEL_Portfolio HY 31032022.xlsx]EDNPSF!A1","Edelweiss NY PSU BD Pl SDL Idx Fund-2026")</f>
        <v>Edelweiss NY PSU BD Pl SDL Idx Fund-2026</v>
      </c>
      <c r="C20" s="154"/>
      <c r="D20" s="155" t="s">
        <v>2057</v>
      </c>
      <c r="E20" s="154"/>
    </row>
    <row r="21" spans="1:5" ht="69.75" customHeight="1" x14ac:dyDescent="0.25">
      <c r="A21" s="152" t="s">
        <v>1580</v>
      </c>
      <c r="B21" s="153" t="str">
        <f>HYPERLINK("[EDEL_Portfolio HY 31032022.xlsx]EDONTF!A1","EDELWEISS OVERNIGHT FUND")</f>
        <v>EDELWEISS OVERNIGHT FUND</v>
      </c>
      <c r="C21" s="154"/>
      <c r="D21" s="154" t="s">
        <v>2058</v>
      </c>
      <c r="E21" s="154"/>
    </row>
    <row r="22" spans="1:5" ht="59.25" customHeight="1" x14ac:dyDescent="0.25">
      <c r="A22" s="152" t="s">
        <v>1581</v>
      </c>
      <c r="B22" s="153" t="str">
        <f>HYPERLINK("[EDEL_Portfolio HY 31032022.xlsx]EEARBF!A1","Edelweiss Arbitrage Fund")</f>
        <v>Edelweiss Arbitrage Fund</v>
      </c>
      <c r="C22" s="154"/>
      <c r="D22" s="154" t="s">
        <v>2059</v>
      </c>
      <c r="E22" s="154"/>
    </row>
    <row r="23" spans="1:5" ht="87.75" customHeight="1" x14ac:dyDescent="0.25">
      <c r="A23" s="152" t="s">
        <v>1582</v>
      </c>
      <c r="B23" s="153" t="str">
        <f>HYPERLINK("[EDEL_Portfolio HY 31032022.xlsx]EEARFD!A1","Edelweiss Balanced Advantage Fund")</f>
        <v>Edelweiss Balanced Advantage Fund</v>
      </c>
      <c r="C23" s="154"/>
      <c r="D23" s="155" t="s">
        <v>2060</v>
      </c>
      <c r="E23" s="154"/>
    </row>
    <row r="24" spans="1:5" ht="65.25" customHeight="1" x14ac:dyDescent="0.25">
      <c r="A24" s="152" t="s">
        <v>1583</v>
      </c>
      <c r="B24" s="153" t="str">
        <f>HYPERLINK("[EDEL_Portfolio HY 31032022.xlsx]EEDGEF!A1","Edelweiss Large Cap Fund")</f>
        <v>Edelweiss Large Cap Fund</v>
      </c>
      <c r="C24" s="154"/>
      <c r="D24" s="154" t="s">
        <v>2061</v>
      </c>
      <c r="E24" s="154"/>
    </row>
    <row r="25" spans="1:5" ht="70.5" customHeight="1" x14ac:dyDescent="0.25">
      <c r="A25" s="152" t="s">
        <v>1584</v>
      </c>
      <c r="B25" s="153" t="str">
        <f>HYPERLINK("[EDEL_Portfolio HY 31032022.xlsx]EEECRF!A1","Edelweiss Flexi-Cap Fund")</f>
        <v>Edelweiss Flexi-Cap Fund</v>
      </c>
      <c r="C25" s="154"/>
      <c r="D25" s="154" t="s">
        <v>2062</v>
      </c>
      <c r="E25" s="154"/>
    </row>
    <row r="26" spans="1:5" ht="54" customHeight="1" x14ac:dyDescent="0.25">
      <c r="A26" s="152" t="s">
        <v>1585</v>
      </c>
      <c r="B26" s="153" t="str">
        <f>HYPERLINK("[EDEL_Portfolio HY 31032022.xlsx]EEELSS!A1","Edelweiss Long Term Equity Fund")</f>
        <v>Edelweiss Long Term Equity Fund</v>
      </c>
      <c r="C26" s="154"/>
      <c r="D26" s="154" t="s">
        <v>2062</v>
      </c>
      <c r="E26" s="154"/>
    </row>
    <row r="27" spans="1:5" ht="63.75" customHeight="1" x14ac:dyDescent="0.25">
      <c r="A27" s="152" t="s">
        <v>1586</v>
      </c>
      <c r="B27" s="153" t="str">
        <f>HYPERLINK("[EDEL_Portfolio HY 31032022.xlsx]EEEQTF!A1","Edelweiss Large &amp; Mid Cap Fund")</f>
        <v>Edelweiss Large &amp; Mid Cap Fund</v>
      </c>
      <c r="C27" s="154"/>
      <c r="D27" s="155" t="s">
        <v>2063</v>
      </c>
      <c r="E27" s="154"/>
    </row>
    <row r="28" spans="1:5" ht="70.5" customHeight="1" x14ac:dyDescent="0.25">
      <c r="A28" s="152" t="s">
        <v>1587</v>
      </c>
      <c r="B28" s="153" t="str">
        <f>HYPERLINK("[EDEL_Portfolio HY 31032022.xlsx]EEESCF!A1","Edelweiss Small Cap Fund")</f>
        <v>Edelweiss Small Cap Fund</v>
      </c>
      <c r="C28" s="154"/>
      <c r="D28" s="154" t="s">
        <v>2064</v>
      </c>
      <c r="E28" s="154"/>
    </row>
    <row r="29" spans="1:5" ht="84.75" customHeight="1" x14ac:dyDescent="0.25">
      <c r="A29" s="152" t="s">
        <v>1588</v>
      </c>
      <c r="B29" s="153" t="str">
        <f>HYPERLINK("[EDEL_Portfolio HY 31032022.xlsx]EEESSF!A1","Edelweiss Equity Savings Fund")</f>
        <v>Edelweiss Equity Savings Fund</v>
      </c>
      <c r="C29" s="154"/>
      <c r="D29" s="154" t="s">
        <v>2065</v>
      </c>
      <c r="E29" s="154"/>
    </row>
    <row r="30" spans="1:5" ht="69" customHeight="1" x14ac:dyDescent="0.25">
      <c r="A30" s="152" t="s">
        <v>1589</v>
      </c>
      <c r="B30" s="153" t="str">
        <f>HYPERLINK("[EDEL_Portfolio HY 31032022.xlsx]EEIF30!A1","Edelweiss Nifty 100 Quality 30 Index Fnd")</f>
        <v>Edelweiss Nifty 100 Quality 30 Index Fnd</v>
      </c>
      <c r="C30" s="154"/>
      <c r="D30" s="154" t="s">
        <v>2066</v>
      </c>
      <c r="E30" s="154"/>
    </row>
    <row r="31" spans="1:5" ht="87.75" customHeight="1" x14ac:dyDescent="0.25">
      <c r="A31" s="152" t="s">
        <v>1590</v>
      </c>
      <c r="B31" s="153" t="str">
        <f>HYPERLINK("[EDEL_Portfolio HY 31032022.xlsx]EEIF50!A1","Edelweiss Nifty 50 Index Fund")</f>
        <v>Edelweiss Nifty 50 Index Fund</v>
      </c>
      <c r="C31" s="154"/>
      <c r="D31" s="154" t="s">
        <v>2067</v>
      </c>
      <c r="E31" s="154"/>
    </row>
    <row r="32" spans="1:5" ht="65.25" customHeight="1" x14ac:dyDescent="0.25">
      <c r="A32" s="152" t="s">
        <v>1591</v>
      </c>
      <c r="B32" s="153" t="str">
        <f>HYPERLINK("[EDEL_Portfolio HY 31032022.xlsx]EELMIF!A1","Edelweiss Large &amp; Midcap Index Fund")</f>
        <v>Edelweiss Large &amp; Midcap Index Fund</v>
      </c>
      <c r="C32" s="152"/>
      <c r="D32" s="155" t="s">
        <v>2068</v>
      </c>
      <c r="E32" s="152"/>
    </row>
    <row r="33" spans="1:5" ht="78.75" customHeight="1" x14ac:dyDescent="0.25">
      <c r="A33" s="152" t="s">
        <v>1592</v>
      </c>
      <c r="B33" s="153" t="str">
        <f>HYPERLINK("[EDEL_Portfolio HY 31032022.xlsx]EEMOF1!A1","EDELWEISS RECENTLY LISTED IPO FUND")</f>
        <v>EDELWEISS RECENTLY LISTED IPO FUND</v>
      </c>
      <c r="C33" s="154"/>
      <c r="D33" s="154" t="s">
        <v>2069</v>
      </c>
      <c r="E33" s="154"/>
    </row>
    <row r="34" spans="1:5" ht="108" customHeight="1" x14ac:dyDescent="0.25">
      <c r="A34" s="152" t="s">
        <v>1593</v>
      </c>
      <c r="B34" s="153" t="str">
        <f>HYPERLINK("[EDEL_Portfolio HY 31032022.xlsx]EENFBA!A1","Edelweiss ETF - Nifty Bank")</f>
        <v>Edelweiss ETF - Nifty Bank</v>
      </c>
      <c r="C34" s="154"/>
      <c r="D34" s="154" t="s">
        <v>2070</v>
      </c>
      <c r="E34" s="154"/>
    </row>
    <row r="35" spans="1:5" ht="88.5" customHeight="1" x14ac:dyDescent="0.25">
      <c r="A35" s="152" t="s">
        <v>1594</v>
      </c>
      <c r="B35" s="153" t="str">
        <f>HYPERLINK("[EDEL_Portfolio HY 31032022.xlsx]EEPRUA!A1","Edelweiss Aggressive Hybrid Fund")</f>
        <v>Edelweiss Aggressive Hybrid Fund</v>
      </c>
      <c r="C35" s="154"/>
      <c r="D35" s="155" t="s">
        <v>2071</v>
      </c>
      <c r="E35" s="154"/>
    </row>
    <row r="36" spans="1:5" ht="105" customHeight="1" x14ac:dyDescent="0.25">
      <c r="A36" s="152" t="s">
        <v>1595</v>
      </c>
      <c r="B36" s="153" t="str">
        <f>HYPERLINK("[EDEL_Portfolio HY 31032022.xlsx]EESMCF!A1","Edelweiss Mid Cap Fund")</f>
        <v>Edelweiss Mid Cap Fund</v>
      </c>
      <c r="C36" s="154"/>
      <c r="D36" s="155" t="s">
        <v>2072</v>
      </c>
      <c r="E36" s="154"/>
    </row>
    <row r="37" spans="1:5" ht="75.75" customHeight="1" x14ac:dyDescent="0.25">
      <c r="A37" s="152" t="s">
        <v>1596</v>
      </c>
      <c r="B37" s="153" t="str">
        <f>HYPERLINK("[EDEL_Portfolio HY 31032022.xlsx]EFMS55!A1","Edelweiss Fixed Maturity Plan - Series 55")</f>
        <v>Edelweiss Fixed Maturity Plan - Series 55</v>
      </c>
      <c r="C37" s="154"/>
      <c r="D37" s="155" t="s">
        <v>2073</v>
      </c>
      <c r="E37" s="154"/>
    </row>
    <row r="38" spans="1:5" ht="85.5" customHeight="1" x14ac:dyDescent="0.25">
      <c r="A38" s="152" t="s">
        <v>1597</v>
      </c>
      <c r="B38" s="153" t="str">
        <f>HYPERLINK("[EDEL_Portfolio HY 31032022.xlsx]ELLIQF!A1","Edelweiss Liquid Fund")</f>
        <v>Edelweiss Liquid Fund</v>
      </c>
      <c r="C38" s="154"/>
      <c r="D38" s="154" t="s">
        <v>2074</v>
      </c>
      <c r="E38" s="154"/>
    </row>
    <row r="39" spans="1:5" ht="75.75" customHeight="1" x14ac:dyDescent="0.25">
      <c r="A39" s="152" t="s">
        <v>1598</v>
      </c>
      <c r="B39" s="153" t="str">
        <f>HYPERLINK("[EDEL_Portfolio HY 31032022.xlsx]EOASEF!A1","Edelweiss ASEAN Equity Off-shore Fund")</f>
        <v>Edelweiss ASEAN Equity Off-shore Fund</v>
      </c>
      <c r="C39" s="154"/>
      <c r="D39" s="154" t="s">
        <v>2075</v>
      </c>
      <c r="E39" s="154"/>
    </row>
    <row r="40" spans="1:5" ht="88.5" customHeight="1" x14ac:dyDescent="0.25">
      <c r="A40" s="152" t="s">
        <v>1599</v>
      </c>
      <c r="B40" s="153" t="str">
        <f>HYPERLINK("[EDEL_Portfolio HY 31032022.xlsx]EOCHIF!A1","Edelweiss Greater China Equity Off-shore Fund")</f>
        <v>Edelweiss Greater China Equity Off-shore Fund</v>
      </c>
      <c r="C40" s="154"/>
      <c r="D40" s="155" t="s">
        <v>2076</v>
      </c>
      <c r="E40" s="154"/>
    </row>
    <row r="41" spans="1:5" ht="75.75" customHeight="1" x14ac:dyDescent="0.25">
      <c r="A41" s="152" t="s">
        <v>1600</v>
      </c>
      <c r="B41" s="153" t="str">
        <f>HYPERLINK("[EDEL_Portfolio HY 31032022.xlsx]EODWHF!A1","Edelweiss MSCI (I) DM &amp; WD HC 45 ID Fund")</f>
        <v>Edelweiss MSCI (I) DM &amp; WD HC 45 ID Fund</v>
      </c>
      <c r="C41" s="154"/>
      <c r="D41" s="155" t="s">
        <v>2077</v>
      </c>
      <c r="E41" s="154"/>
    </row>
    <row r="42" spans="1:5" ht="71.25" customHeight="1" x14ac:dyDescent="0.25">
      <c r="A42" s="152" t="s">
        <v>1601</v>
      </c>
      <c r="B42" s="153" t="str">
        <f>HYPERLINK("[EDEL_Portfolio HY 31032022.xlsx]EOEDOF!A1","Edelweiss Europe Dynamic Equity Offshore Fund")</f>
        <v>Edelweiss Europe Dynamic Equity Offshore Fund</v>
      </c>
      <c r="C42" s="154"/>
      <c r="D42" s="157" t="s">
        <v>2078</v>
      </c>
      <c r="E42" s="154"/>
    </row>
    <row r="43" spans="1:5" ht="78.75" customHeight="1" x14ac:dyDescent="0.25">
      <c r="A43" s="152" t="s">
        <v>1602</v>
      </c>
      <c r="B43" s="153" t="str">
        <f>HYPERLINK("[EDEL_Portfolio HY 31032022.xlsx]EOEMOP!A1","Edelweiss Emerging Markets Opportunities Equity Offshore Fund")</f>
        <v>Edelweiss Emerging Markets Opportunities Equity Offshore Fund</v>
      </c>
      <c r="C43" s="154"/>
      <c r="D43" s="154" t="s">
        <v>2079</v>
      </c>
      <c r="E43" s="154"/>
    </row>
    <row r="44" spans="1:5" ht="61.5" customHeight="1" x14ac:dyDescent="0.25">
      <c r="A44" s="152" t="s">
        <v>1603</v>
      </c>
      <c r="B44" s="153" t="str">
        <f>HYPERLINK("[EDEL_Portfolio HY 31032022.xlsx]EOUSEF!A1","Edelweiss US Value Equity Off-shore Fund")</f>
        <v>Edelweiss US Value Equity Off-shore Fund</v>
      </c>
      <c r="C44" s="154"/>
      <c r="D44" s="155" t="s">
        <v>2080</v>
      </c>
      <c r="E44" s="154"/>
    </row>
    <row r="45" spans="1:5" ht="66.75" customHeight="1" x14ac:dyDescent="0.25">
      <c r="A45" s="152" t="s">
        <v>1604</v>
      </c>
      <c r="B45" s="153" t="str">
        <f>HYPERLINK("[EDEL_Portfolio HY 31032022.xlsx]EOUSTF!A1","EDELWEISS US TECHNOLOGY EQUITY FOF")</f>
        <v>EDELWEISS US TECHNOLOGY EQUITY FOF</v>
      </c>
      <c r="C45" s="154"/>
      <c r="D45" s="155" t="s">
        <v>2080</v>
      </c>
      <c r="E45" s="154"/>
    </row>
    <row r="46" spans="1:5" x14ac:dyDescent="0.25">
      <c r="A46" s="152" t="s">
        <v>2339</v>
      </c>
      <c r="B46" s="153" t="str">
        <f>HYPERLINK("[EDEL_Portfolio HY 31032022.xlsx]Disclosure!A1","Derivative Disclosure report")</f>
        <v>Derivative Disclosure report</v>
      </c>
      <c r="C46" s="152"/>
      <c r="D46" s="152"/>
      <c r="E46" s="152"/>
    </row>
  </sheetData>
  <mergeCells count="2">
    <mergeCell ref="A2:E2"/>
    <mergeCell ref="A1:E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9"/>
  <sheetViews>
    <sheetView showGridLines="0" workbookViewId="0">
      <pane ySplit="6" topLeftCell="A7" activePane="bottomLeft" state="frozen"/>
      <selection activeCell="A2" sqref="A2"/>
      <selection pane="bottomLeft" activeCell="H3" sqref="H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10" x14ac:dyDescent="0.25">
      <c r="A1" s="50" t="s">
        <v>1613</v>
      </c>
    </row>
    <row r="2" spans="1:10" ht="30.75" thickBot="1" x14ac:dyDescent="0.3">
      <c r="A2" s="65" t="s">
        <v>2083</v>
      </c>
    </row>
    <row r="3" spans="1:10" ht="36.75" customHeight="1" x14ac:dyDescent="0.25">
      <c r="A3" s="138" t="s">
        <v>7</v>
      </c>
      <c r="B3" s="139"/>
      <c r="C3" s="139"/>
      <c r="D3" s="139"/>
      <c r="E3" s="139"/>
      <c r="F3" s="139"/>
      <c r="G3" s="140"/>
      <c r="H3" s="46" t="str">
        <f>HYPERLINK("[EDEL_Portfolio HY 31032022.xlsx]Index!A1","Index")</f>
        <v>Index</v>
      </c>
    </row>
    <row r="4" spans="1:10" ht="19.5" customHeight="1" x14ac:dyDescent="0.25">
      <c r="A4" s="141" t="s">
        <v>8</v>
      </c>
      <c r="B4" s="142"/>
      <c r="C4" s="142"/>
      <c r="D4" s="142"/>
      <c r="E4" s="142"/>
      <c r="F4" s="142"/>
      <c r="G4" s="143"/>
    </row>
    <row r="5" spans="1:10" x14ac:dyDescent="0.25">
      <c r="A5" s="54"/>
      <c r="B5" s="56"/>
      <c r="C5" s="56"/>
      <c r="D5" s="56"/>
      <c r="E5" s="56"/>
      <c r="F5" s="56"/>
      <c r="G5" s="66"/>
    </row>
    <row r="6" spans="1:10" ht="48" customHeight="1" x14ac:dyDescent="0.25">
      <c r="A6" s="67" t="s">
        <v>0</v>
      </c>
      <c r="B6" s="68" t="s">
        <v>1</v>
      </c>
      <c r="C6" s="68" t="s">
        <v>5</v>
      </c>
      <c r="D6" s="69" t="s">
        <v>2</v>
      </c>
      <c r="E6" s="70" t="s">
        <v>4</v>
      </c>
      <c r="F6" s="70" t="s">
        <v>3</v>
      </c>
      <c r="G6" s="71" t="s">
        <v>6</v>
      </c>
    </row>
    <row r="7" spans="1:10" x14ac:dyDescent="0.25">
      <c r="A7" s="72"/>
      <c r="B7" s="30"/>
      <c r="C7" s="30"/>
      <c r="D7" s="9"/>
      <c r="E7" s="10"/>
      <c r="F7" s="11"/>
      <c r="G7" s="73"/>
    </row>
    <row r="8" spans="1:10" x14ac:dyDescent="0.25">
      <c r="A8" s="74"/>
      <c r="B8" s="31"/>
      <c r="C8" s="31"/>
      <c r="D8" s="14"/>
      <c r="E8" s="15"/>
      <c r="F8" s="16"/>
      <c r="G8" s="75"/>
      <c r="J8" s="56"/>
    </row>
    <row r="9" spans="1:10" x14ac:dyDescent="0.25">
      <c r="A9" s="76" t="s">
        <v>84</v>
      </c>
      <c r="B9" s="31"/>
      <c r="C9" s="31"/>
      <c r="D9" s="14"/>
      <c r="E9" s="52" t="s">
        <v>85</v>
      </c>
      <c r="F9" s="53" t="s">
        <v>85</v>
      </c>
      <c r="G9" s="75"/>
      <c r="J9" s="56"/>
    </row>
    <row r="10" spans="1:10" x14ac:dyDescent="0.25">
      <c r="A10" s="74"/>
      <c r="B10" s="31"/>
      <c r="C10" s="31"/>
      <c r="D10" s="14"/>
      <c r="E10" s="15"/>
      <c r="F10" s="16"/>
      <c r="G10" s="75"/>
      <c r="J10" s="56"/>
    </row>
    <row r="11" spans="1:10" x14ac:dyDescent="0.25">
      <c r="A11" s="76" t="s">
        <v>86</v>
      </c>
      <c r="B11" s="31"/>
      <c r="C11" s="31"/>
      <c r="D11" s="14"/>
      <c r="E11" s="15"/>
      <c r="F11" s="16"/>
      <c r="G11" s="75"/>
      <c r="J11" s="56"/>
    </row>
    <row r="12" spans="1:10" x14ac:dyDescent="0.25">
      <c r="A12" s="76" t="s">
        <v>87</v>
      </c>
      <c r="B12" s="31"/>
      <c r="C12" s="31"/>
      <c r="D12" s="14"/>
      <c r="E12" s="15"/>
      <c r="F12" s="16"/>
      <c r="G12" s="75"/>
      <c r="J12" s="56"/>
    </row>
    <row r="13" spans="1:10" x14ac:dyDescent="0.25">
      <c r="A13" s="74" t="s">
        <v>1614</v>
      </c>
      <c r="B13" s="31" t="s">
        <v>88</v>
      </c>
      <c r="C13" s="31" t="s">
        <v>89</v>
      </c>
      <c r="D13" s="14">
        <v>2850</v>
      </c>
      <c r="E13" s="15">
        <v>2.86</v>
      </c>
      <c r="F13" s="16">
        <v>1E-4</v>
      </c>
      <c r="G13" s="75">
        <v>4.2349999999999999E-2</v>
      </c>
      <c r="J13" s="56"/>
    </row>
    <row r="14" spans="1:10" x14ac:dyDescent="0.25">
      <c r="A14" s="76" t="s">
        <v>90</v>
      </c>
      <c r="B14" s="32"/>
      <c r="C14" s="32"/>
      <c r="D14" s="18"/>
      <c r="E14" s="35">
        <v>2.86</v>
      </c>
      <c r="F14" s="36">
        <v>1E-4</v>
      </c>
      <c r="G14" s="77"/>
      <c r="J14" s="56"/>
    </row>
    <row r="15" spans="1:10" x14ac:dyDescent="0.25">
      <c r="A15" s="74"/>
      <c r="B15" s="31"/>
      <c r="C15" s="31"/>
      <c r="D15" s="14"/>
      <c r="E15" s="15"/>
      <c r="F15" s="16"/>
      <c r="G15" s="75"/>
      <c r="J15" s="56"/>
    </row>
    <row r="16" spans="1:10" x14ac:dyDescent="0.25">
      <c r="A16" s="76" t="s">
        <v>91</v>
      </c>
      <c r="B16" s="31"/>
      <c r="C16" s="31"/>
      <c r="D16" s="14"/>
      <c r="E16" s="15"/>
      <c r="F16" s="16"/>
      <c r="G16" s="75"/>
      <c r="J16" s="56"/>
    </row>
    <row r="17" spans="1:10" x14ac:dyDescent="0.25">
      <c r="A17" s="76" t="s">
        <v>90</v>
      </c>
      <c r="B17" s="31"/>
      <c r="C17" s="31"/>
      <c r="D17" s="14"/>
      <c r="E17" s="37" t="s">
        <v>85</v>
      </c>
      <c r="F17" s="38" t="s">
        <v>85</v>
      </c>
      <c r="G17" s="75"/>
      <c r="J17" s="56"/>
    </row>
    <row r="18" spans="1:10" x14ac:dyDescent="0.25">
      <c r="A18" s="74"/>
      <c r="B18" s="31"/>
      <c r="C18" s="31"/>
      <c r="D18" s="14"/>
      <c r="E18" s="15"/>
      <c r="F18" s="16"/>
      <c r="G18" s="75"/>
      <c r="J18" s="56"/>
    </row>
    <row r="19" spans="1:10" x14ac:dyDescent="0.25">
      <c r="A19" s="76" t="s">
        <v>92</v>
      </c>
      <c r="B19" s="31"/>
      <c r="C19" s="31"/>
      <c r="D19" s="14"/>
      <c r="E19" s="15"/>
      <c r="F19" s="16"/>
      <c r="G19" s="75"/>
      <c r="J19" s="56"/>
    </row>
    <row r="20" spans="1:10" x14ac:dyDescent="0.25">
      <c r="A20" s="76" t="s">
        <v>90</v>
      </c>
      <c r="B20" s="31"/>
      <c r="C20" s="31"/>
      <c r="D20" s="14"/>
      <c r="E20" s="37" t="s">
        <v>85</v>
      </c>
      <c r="F20" s="38" t="s">
        <v>85</v>
      </c>
      <c r="G20" s="75"/>
      <c r="J20" s="56"/>
    </row>
    <row r="21" spans="1:10" x14ac:dyDescent="0.25">
      <c r="A21" s="74"/>
      <c r="B21" s="31"/>
      <c r="C21" s="31"/>
      <c r="D21" s="14"/>
      <c r="E21" s="15"/>
      <c r="F21" s="16"/>
      <c r="G21" s="75"/>
      <c r="J21" s="56"/>
    </row>
    <row r="22" spans="1:10" x14ac:dyDescent="0.25">
      <c r="A22" s="78" t="s">
        <v>93</v>
      </c>
      <c r="B22" s="79"/>
      <c r="C22" s="79"/>
      <c r="D22" s="80"/>
      <c r="E22" s="35">
        <v>2.86</v>
      </c>
      <c r="F22" s="36">
        <v>1E-4</v>
      </c>
      <c r="G22" s="77"/>
      <c r="J22" s="56"/>
    </row>
    <row r="23" spans="1:10" x14ac:dyDescent="0.25">
      <c r="A23" s="74"/>
      <c r="B23" s="31"/>
      <c r="C23" s="31"/>
      <c r="D23" s="14"/>
      <c r="E23" s="15"/>
      <c r="F23" s="16"/>
      <c r="G23" s="75"/>
      <c r="J23" s="56"/>
    </row>
    <row r="24" spans="1:10" x14ac:dyDescent="0.25">
      <c r="A24" s="76" t="s">
        <v>94</v>
      </c>
      <c r="B24" s="31"/>
      <c r="C24" s="31"/>
      <c r="D24" s="14"/>
      <c r="E24" s="15"/>
      <c r="F24" s="16"/>
      <c r="G24" s="75"/>
      <c r="J24" s="56"/>
    </row>
    <row r="25" spans="1:10" x14ac:dyDescent="0.25">
      <c r="A25" s="76" t="s">
        <v>95</v>
      </c>
      <c r="B25" s="31"/>
      <c r="C25" s="31"/>
      <c r="D25" s="14"/>
      <c r="E25" s="15"/>
      <c r="F25" s="16"/>
      <c r="G25" s="75"/>
      <c r="J25" s="56"/>
    </row>
    <row r="26" spans="1:10" x14ac:dyDescent="0.25">
      <c r="A26" s="74" t="s">
        <v>1616</v>
      </c>
      <c r="B26" s="31" t="s">
        <v>96</v>
      </c>
      <c r="C26" s="31" t="s">
        <v>97</v>
      </c>
      <c r="D26" s="14">
        <v>2500000</v>
      </c>
      <c r="E26" s="15">
        <v>2480.08</v>
      </c>
      <c r="F26" s="16">
        <v>7.9500000000000001E-2</v>
      </c>
      <c r="G26" s="75">
        <v>3.8581999999999998E-2</v>
      </c>
      <c r="J26" s="56"/>
    </row>
    <row r="27" spans="1:10" x14ac:dyDescent="0.25">
      <c r="A27" s="74" t="s">
        <v>1615</v>
      </c>
      <c r="B27" s="31" t="s">
        <v>98</v>
      </c>
      <c r="C27" s="31" t="s">
        <v>99</v>
      </c>
      <c r="D27" s="14">
        <v>2500000</v>
      </c>
      <c r="E27" s="15">
        <v>2460.36</v>
      </c>
      <c r="F27" s="16">
        <v>7.8899999999999998E-2</v>
      </c>
      <c r="G27" s="75">
        <v>4.2619999999999998E-2</v>
      </c>
      <c r="J27" s="56"/>
    </row>
    <row r="28" spans="1:10" x14ac:dyDescent="0.25">
      <c r="A28" s="74" t="s">
        <v>1617</v>
      </c>
      <c r="B28" s="31" t="s">
        <v>100</v>
      </c>
      <c r="C28" s="31" t="s">
        <v>97</v>
      </c>
      <c r="D28" s="14">
        <v>2500000</v>
      </c>
      <c r="E28" s="15">
        <v>2458.87</v>
      </c>
      <c r="F28" s="16">
        <v>7.8799999999999995E-2</v>
      </c>
      <c r="G28" s="75">
        <v>4.2701000000000003E-2</v>
      </c>
      <c r="J28" s="56"/>
    </row>
    <row r="29" spans="1:10" x14ac:dyDescent="0.25">
      <c r="A29" s="74" t="s">
        <v>1618</v>
      </c>
      <c r="B29" s="31" t="s">
        <v>101</v>
      </c>
      <c r="C29" s="31" t="s">
        <v>97</v>
      </c>
      <c r="D29" s="14">
        <v>2500000</v>
      </c>
      <c r="E29" s="15">
        <v>2401.4899999999998</v>
      </c>
      <c r="F29" s="16">
        <v>7.6999999999999999E-2</v>
      </c>
      <c r="G29" s="75">
        <v>4.6498999999999999E-2</v>
      </c>
      <c r="J29" s="56"/>
    </row>
    <row r="30" spans="1:10" x14ac:dyDescent="0.25">
      <c r="A30" s="74" t="s">
        <v>1619</v>
      </c>
      <c r="B30" s="31" t="s">
        <v>102</v>
      </c>
      <c r="C30" s="31" t="s">
        <v>97</v>
      </c>
      <c r="D30" s="14">
        <v>2500000</v>
      </c>
      <c r="E30" s="15">
        <v>2401.0700000000002</v>
      </c>
      <c r="F30" s="16">
        <v>7.6999999999999999E-2</v>
      </c>
      <c r="G30" s="75">
        <v>4.6850000000000003E-2</v>
      </c>
      <c r="J30" s="56"/>
    </row>
    <row r="31" spans="1:10" x14ac:dyDescent="0.25">
      <c r="A31" s="76" t="s">
        <v>90</v>
      </c>
      <c r="B31" s="32"/>
      <c r="C31" s="32"/>
      <c r="D31" s="18"/>
      <c r="E31" s="35">
        <v>12201.87</v>
      </c>
      <c r="F31" s="36">
        <v>0.39119999999999999</v>
      </c>
      <c r="G31" s="77"/>
      <c r="J31" s="56"/>
    </row>
    <row r="32" spans="1:10" x14ac:dyDescent="0.25">
      <c r="A32" s="74"/>
      <c r="B32" s="31"/>
      <c r="C32" s="31"/>
      <c r="D32" s="14"/>
      <c r="E32" s="15"/>
      <c r="F32" s="16"/>
      <c r="G32" s="75"/>
      <c r="J32" s="56"/>
    </row>
    <row r="33" spans="1:10" x14ac:dyDescent="0.25">
      <c r="A33" s="76" t="s">
        <v>103</v>
      </c>
      <c r="B33" s="31"/>
      <c r="C33" s="31"/>
      <c r="D33" s="14"/>
      <c r="E33" s="15"/>
      <c r="F33" s="16"/>
      <c r="G33" s="75"/>
      <c r="J33" s="56"/>
    </row>
    <row r="34" spans="1:10" x14ac:dyDescent="0.25">
      <c r="A34" s="74" t="s">
        <v>1621</v>
      </c>
      <c r="B34" s="31" t="s">
        <v>104</v>
      </c>
      <c r="C34" s="31" t="s">
        <v>97</v>
      </c>
      <c r="D34" s="14">
        <v>2500000</v>
      </c>
      <c r="E34" s="15">
        <v>2497.16</v>
      </c>
      <c r="F34" s="16">
        <v>8.0100000000000005E-2</v>
      </c>
      <c r="G34" s="75">
        <v>4.1510999999999999E-2</v>
      </c>
      <c r="J34" s="56"/>
    </row>
    <row r="35" spans="1:10" x14ac:dyDescent="0.25">
      <c r="A35" s="74" t="s">
        <v>1622</v>
      </c>
      <c r="B35" s="31" t="s">
        <v>105</v>
      </c>
      <c r="C35" s="31" t="s">
        <v>97</v>
      </c>
      <c r="D35" s="14">
        <v>2500000</v>
      </c>
      <c r="E35" s="15">
        <v>2492.12</v>
      </c>
      <c r="F35" s="16">
        <v>7.9899999999999999E-2</v>
      </c>
      <c r="G35" s="75">
        <v>4.2758999999999998E-2</v>
      </c>
      <c r="J35" s="56"/>
    </row>
    <row r="36" spans="1:10" x14ac:dyDescent="0.25">
      <c r="A36" s="74" t="s">
        <v>1624</v>
      </c>
      <c r="B36" s="31" t="s">
        <v>106</v>
      </c>
      <c r="C36" s="31" t="s">
        <v>97</v>
      </c>
      <c r="D36" s="14">
        <v>2500000</v>
      </c>
      <c r="E36" s="15">
        <v>2479.5100000000002</v>
      </c>
      <c r="F36" s="16">
        <v>7.9500000000000001E-2</v>
      </c>
      <c r="G36" s="75">
        <v>4.3099999999999999E-2</v>
      </c>
      <c r="J36" s="56"/>
    </row>
    <row r="37" spans="1:10" x14ac:dyDescent="0.25">
      <c r="A37" s="74" t="s">
        <v>1623</v>
      </c>
      <c r="B37" s="31" t="s">
        <v>107</v>
      </c>
      <c r="C37" s="31" t="s">
        <v>97</v>
      </c>
      <c r="D37" s="14">
        <v>2500000</v>
      </c>
      <c r="E37" s="15">
        <v>2478.44</v>
      </c>
      <c r="F37" s="16">
        <v>7.9500000000000001E-2</v>
      </c>
      <c r="G37" s="75">
        <v>3.9698999999999998E-2</v>
      </c>
      <c r="J37" s="56"/>
    </row>
    <row r="38" spans="1:10" x14ac:dyDescent="0.25">
      <c r="A38" s="74" t="s">
        <v>1620</v>
      </c>
      <c r="B38" s="31" t="s">
        <v>108</v>
      </c>
      <c r="C38" s="31" t="s">
        <v>97</v>
      </c>
      <c r="D38" s="14">
        <v>2500000</v>
      </c>
      <c r="E38" s="15">
        <v>2477.46</v>
      </c>
      <c r="F38" s="16">
        <v>7.9399999999999998E-2</v>
      </c>
      <c r="G38" s="75">
        <v>4.3701999999999998E-2</v>
      </c>
      <c r="J38" s="56"/>
    </row>
    <row r="39" spans="1:10" x14ac:dyDescent="0.25">
      <c r="A39" s="74" t="s">
        <v>1625</v>
      </c>
      <c r="B39" s="31" t="s">
        <v>109</v>
      </c>
      <c r="C39" s="31" t="s">
        <v>97</v>
      </c>
      <c r="D39" s="14">
        <v>2500000</v>
      </c>
      <c r="E39" s="15">
        <v>2459.8000000000002</v>
      </c>
      <c r="F39" s="16">
        <v>7.8899999999999998E-2</v>
      </c>
      <c r="G39" s="75">
        <v>4.4849E-2</v>
      </c>
      <c r="J39" s="56"/>
    </row>
    <row r="40" spans="1:10" x14ac:dyDescent="0.25">
      <c r="A40" s="76" t="s">
        <v>90</v>
      </c>
      <c r="B40" s="32"/>
      <c r="C40" s="32"/>
      <c r="D40" s="18"/>
      <c r="E40" s="35">
        <v>14884.49</v>
      </c>
      <c r="F40" s="36">
        <v>0.4773</v>
      </c>
      <c r="G40" s="77"/>
      <c r="J40" s="56"/>
    </row>
    <row r="41" spans="1:10" x14ac:dyDescent="0.25">
      <c r="A41" s="74"/>
      <c r="B41" s="31"/>
      <c r="C41" s="31"/>
      <c r="D41" s="14"/>
      <c r="E41" s="15"/>
      <c r="F41" s="16"/>
      <c r="G41" s="75"/>
      <c r="J41" s="56"/>
    </row>
    <row r="42" spans="1:10" x14ac:dyDescent="0.25">
      <c r="A42" s="78" t="s">
        <v>93</v>
      </c>
      <c r="B42" s="79"/>
      <c r="C42" s="79"/>
      <c r="D42" s="80"/>
      <c r="E42" s="35">
        <v>27086.36</v>
      </c>
      <c r="F42" s="36">
        <v>0.86850000000000005</v>
      </c>
      <c r="G42" s="77"/>
      <c r="J42" s="56"/>
    </row>
    <row r="43" spans="1:10" x14ac:dyDescent="0.25">
      <c r="A43" s="74"/>
      <c r="B43" s="31"/>
      <c r="C43" s="31"/>
      <c r="D43" s="14"/>
      <c r="E43" s="15"/>
      <c r="F43" s="16"/>
      <c r="G43" s="75"/>
      <c r="J43" s="56"/>
    </row>
    <row r="44" spans="1:10" x14ac:dyDescent="0.25">
      <c r="A44" s="74"/>
      <c r="B44" s="31"/>
      <c r="C44" s="31"/>
      <c r="D44" s="14"/>
      <c r="E44" s="15"/>
      <c r="F44" s="16"/>
      <c r="G44" s="75"/>
      <c r="J44" s="56"/>
    </row>
    <row r="45" spans="1:10" x14ac:dyDescent="0.25">
      <c r="A45" s="76" t="s">
        <v>110</v>
      </c>
      <c r="B45" s="31"/>
      <c r="C45" s="31"/>
      <c r="D45" s="14"/>
      <c r="E45" s="15"/>
      <c r="F45" s="16"/>
      <c r="G45" s="75"/>
      <c r="J45" s="56"/>
    </row>
    <row r="46" spans="1:10" x14ac:dyDescent="0.25">
      <c r="A46" s="74" t="s">
        <v>111</v>
      </c>
      <c r="B46" s="31"/>
      <c r="C46" s="31"/>
      <c r="D46" s="14"/>
      <c r="E46" s="15">
        <v>4238.34</v>
      </c>
      <c r="F46" s="16">
        <v>0.13589999999999999</v>
      </c>
      <c r="G46" s="75">
        <v>3.5790000000000002E-2</v>
      </c>
      <c r="J46" s="56"/>
    </row>
    <row r="47" spans="1:10" x14ac:dyDescent="0.25">
      <c r="A47" s="76" t="s">
        <v>90</v>
      </c>
      <c r="B47" s="32"/>
      <c r="C47" s="32"/>
      <c r="D47" s="18"/>
      <c r="E47" s="35">
        <v>4238.34</v>
      </c>
      <c r="F47" s="36">
        <v>0.13589999999999999</v>
      </c>
      <c r="G47" s="77"/>
      <c r="J47" s="56"/>
    </row>
    <row r="48" spans="1:10" x14ac:dyDescent="0.25">
      <c r="A48" s="74"/>
      <c r="B48" s="31"/>
      <c r="C48" s="31"/>
      <c r="D48" s="14"/>
      <c r="E48" s="15"/>
      <c r="F48" s="16"/>
      <c r="G48" s="75"/>
      <c r="J48" s="56"/>
    </row>
    <row r="49" spans="1:11" x14ac:dyDescent="0.25">
      <c r="A49" s="78" t="s">
        <v>93</v>
      </c>
      <c r="B49" s="79"/>
      <c r="C49" s="79"/>
      <c r="D49" s="80"/>
      <c r="E49" s="35">
        <v>4238.34</v>
      </c>
      <c r="F49" s="36">
        <v>0.13589999999999999</v>
      </c>
      <c r="G49" s="77"/>
      <c r="J49" s="56"/>
    </row>
    <row r="50" spans="1:11" x14ac:dyDescent="0.25">
      <c r="A50" s="74" t="s">
        <v>112</v>
      </c>
      <c r="B50" s="31"/>
      <c r="C50" s="31"/>
      <c r="D50" s="14"/>
      <c r="E50" s="15">
        <v>1.2737132</v>
      </c>
      <c r="F50" s="53" t="s">
        <v>2022</v>
      </c>
      <c r="G50" s="75"/>
      <c r="J50" s="56"/>
    </row>
    <row r="51" spans="1:11" x14ac:dyDescent="0.25">
      <c r="A51" s="74" t="s">
        <v>113</v>
      </c>
      <c r="B51" s="31"/>
      <c r="C51" s="31"/>
      <c r="D51" s="14"/>
      <c r="E51" s="24">
        <v>-143.2737132</v>
      </c>
      <c r="F51" s="25">
        <v>-4.5399999999999998E-3</v>
      </c>
      <c r="G51" s="75">
        <v>3.5790000000000002E-2</v>
      </c>
      <c r="J51" s="56"/>
    </row>
    <row r="52" spans="1:11" x14ac:dyDescent="0.25">
      <c r="A52" s="81" t="s">
        <v>114</v>
      </c>
      <c r="B52" s="34"/>
      <c r="C52" s="34"/>
      <c r="D52" s="27"/>
      <c r="E52" s="28">
        <v>31185.56</v>
      </c>
      <c r="F52" s="29">
        <v>1</v>
      </c>
      <c r="G52" s="82"/>
      <c r="J52" s="56"/>
    </row>
    <row r="53" spans="1:11" x14ac:dyDescent="0.25">
      <c r="A53" s="54"/>
      <c r="B53" s="56"/>
      <c r="C53" s="56"/>
      <c r="D53" s="56"/>
      <c r="E53" s="56"/>
      <c r="F53" s="56"/>
      <c r="G53" s="66"/>
      <c r="J53" s="56"/>
    </row>
    <row r="54" spans="1:11" x14ac:dyDescent="0.25">
      <c r="A54" s="83" t="s">
        <v>115</v>
      </c>
      <c r="B54" s="56"/>
      <c r="C54" s="56"/>
      <c r="D54" s="56"/>
      <c r="E54" s="56"/>
      <c r="F54" s="56"/>
      <c r="G54" s="66"/>
      <c r="J54" s="56"/>
    </row>
    <row r="55" spans="1:11" x14ac:dyDescent="0.25">
      <c r="A55" s="83" t="s">
        <v>116</v>
      </c>
      <c r="B55" s="56"/>
      <c r="C55" s="56"/>
      <c r="D55" s="56"/>
      <c r="E55" s="56"/>
      <c r="F55" s="56"/>
      <c r="G55" s="66"/>
      <c r="J55" s="56"/>
    </row>
    <row r="56" spans="1:11" x14ac:dyDescent="0.25">
      <c r="A56" s="83" t="s">
        <v>2023</v>
      </c>
      <c r="B56" s="56"/>
      <c r="C56" s="56"/>
      <c r="D56" s="56"/>
      <c r="E56" s="56"/>
      <c r="F56" s="56"/>
      <c r="G56" s="66"/>
      <c r="J56" s="56"/>
    </row>
    <row r="57" spans="1:11" x14ac:dyDescent="0.25">
      <c r="A57" s="54"/>
      <c r="B57" s="56"/>
      <c r="C57" s="56"/>
      <c r="D57" s="56"/>
      <c r="E57" s="56"/>
      <c r="F57" s="56"/>
      <c r="G57" s="66"/>
      <c r="J57" s="56"/>
    </row>
    <row r="58" spans="1:11" x14ac:dyDescent="0.25">
      <c r="A58" s="83" t="s">
        <v>1476</v>
      </c>
      <c r="B58" s="56"/>
      <c r="C58" s="56"/>
      <c r="D58" s="56"/>
      <c r="E58" s="56"/>
      <c r="F58" s="56"/>
      <c r="G58" s="66"/>
      <c r="J58" s="56"/>
    </row>
    <row r="59" spans="1:11" x14ac:dyDescent="0.25">
      <c r="A59" s="84" t="s">
        <v>1477</v>
      </c>
      <c r="B59" s="85" t="s">
        <v>85</v>
      </c>
      <c r="C59" s="56"/>
      <c r="D59" s="56"/>
      <c r="E59" s="56"/>
      <c r="F59" s="56"/>
      <c r="G59" s="66"/>
      <c r="J59" s="56"/>
    </row>
    <row r="60" spans="1:11" x14ac:dyDescent="0.25">
      <c r="A60" s="54" t="s">
        <v>1626</v>
      </c>
      <c r="B60" s="56"/>
      <c r="C60" s="56"/>
      <c r="D60" s="56"/>
      <c r="E60" s="56"/>
      <c r="F60" s="56"/>
      <c r="G60" s="66"/>
      <c r="J60" s="56"/>
    </row>
    <row r="61" spans="1:11" x14ac:dyDescent="0.25">
      <c r="A61" s="54" t="s">
        <v>1478</v>
      </c>
      <c r="B61" s="85" t="s">
        <v>1479</v>
      </c>
      <c r="C61" s="85" t="s">
        <v>1479</v>
      </c>
      <c r="D61" s="56"/>
      <c r="E61" s="56"/>
      <c r="F61" s="56"/>
      <c r="G61" s="66"/>
      <c r="J61" s="56"/>
    </row>
    <row r="62" spans="1:11" x14ac:dyDescent="0.25">
      <c r="A62" s="54"/>
      <c r="B62" s="86">
        <v>44469</v>
      </c>
      <c r="C62" s="86">
        <v>44651</v>
      </c>
      <c r="D62" s="56"/>
      <c r="E62" s="56"/>
      <c r="F62" s="56"/>
      <c r="G62" s="66"/>
      <c r="J62" s="56"/>
    </row>
    <row r="63" spans="1:11" x14ac:dyDescent="0.25">
      <c r="A63" s="54" t="s">
        <v>1480</v>
      </c>
      <c r="B63" s="85">
        <v>24.8125</v>
      </c>
      <c r="C63" s="85">
        <v>25.273900000000001</v>
      </c>
      <c r="D63" s="56"/>
      <c r="E63" s="59"/>
      <c r="F63" s="56"/>
      <c r="G63" s="87"/>
      <c r="J63" s="56"/>
      <c r="K63" s="3"/>
    </row>
    <row r="64" spans="1:11" x14ac:dyDescent="0.25">
      <c r="A64" s="54" t="s">
        <v>1481</v>
      </c>
      <c r="B64" s="85" t="s">
        <v>1482</v>
      </c>
      <c r="C64" s="85" t="s">
        <v>1482</v>
      </c>
      <c r="D64" s="56"/>
      <c r="E64" s="59"/>
      <c r="F64" s="56"/>
      <c r="G64" s="87"/>
      <c r="J64" s="56"/>
      <c r="K64" s="3"/>
    </row>
    <row r="65" spans="1:11" x14ac:dyDescent="0.25">
      <c r="A65" s="54" t="s">
        <v>1483</v>
      </c>
      <c r="B65" s="85">
        <v>24.812799999999999</v>
      </c>
      <c r="C65" s="85">
        <v>25.276199999999999</v>
      </c>
      <c r="D65" s="56"/>
      <c r="E65" s="59"/>
      <c r="F65" s="56"/>
      <c r="G65" s="87"/>
      <c r="J65" s="56"/>
      <c r="K65" s="3"/>
    </row>
    <row r="66" spans="1:11" x14ac:dyDescent="0.25">
      <c r="A66" s="54" t="s">
        <v>1484</v>
      </c>
      <c r="B66" s="85">
        <v>23.141200000000001</v>
      </c>
      <c r="C66" s="85">
        <v>23.5715</v>
      </c>
      <c r="D66" s="56"/>
      <c r="E66" s="59"/>
      <c r="F66" s="56"/>
      <c r="G66" s="87"/>
      <c r="J66" s="56"/>
      <c r="K66" s="3"/>
    </row>
    <row r="67" spans="1:11" x14ac:dyDescent="0.25">
      <c r="A67" s="54" t="s">
        <v>1485</v>
      </c>
      <c r="B67" s="85" t="s">
        <v>1482</v>
      </c>
      <c r="C67" s="85" t="s">
        <v>1482</v>
      </c>
      <c r="D67" s="56"/>
      <c r="E67" s="59"/>
      <c r="F67" s="56"/>
      <c r="G67" s="87"/>
      <c r="J67" s="56"/>
      <c r="K67" s="3"/>
    </row>
    <row r="68" spans="1:11" x14ac:dyDescent="0.25">
      <c r="A68" s="54" t="s">
        <v>1486</v>
      </c>
      <c r="B68" s="85">
        <v>19.781600000000001</v>
      </c>
      <c r="C68" s="85">
        <v>20.072399999999998</v>
      </c>
      <c r="D68" s="56"/>
      <c r="E68" s="59"/>
      <c r="F68" s="56"/>
      <c r="G68" s="87"/>
      <c r="J68" s="56"/>
      <c r="K68" s="3"/>
    </row>
    <row r="69" spans="1:11" x14ac:dyDescent="0.25">
      <c r="A69" s="54" t="s">
        <v>1487</v>
      </c>
      <c r="B69" s="85" t="s">
        <v>1482</v>
      </c>
      <c r="C69" s="85" t="s">
        <v>1482</v>
      </c>
      <c r="D69" s="56"/>
      <c r="E69" s="59"/>
      <c r="F69" s="56"/>
      <c r="G69" s="87"/>
      <c r="J69" s="56"/>
      <c r="K69" s="3"/>
    </row>
    <row r="70" spans="1:11" x14ac:dyDescent="0.25">
      <c r="A70" s="54" t="s">
        <v>1488</v>
      </c>
      <c r="B70" s="85">
        <v>22.920300000000001</v>
      </c>
      <c r="C70" s="85">
        <v>23.258199999999999</v>
      </c>
      <c r="D70" s="56"/>
      <c r="E70" s="59"/>
      <c r="F70" s="56"/>
      <c r="G70" s="87"/>
      <c r="J70" s="56"/>
      <c r="K70" s="3"/>
    </row>
    <row r="71" spans="1:11" x14ac:dyDescent="0.25">
      <c r="A71" s="54" t="s">
        <v>1489</v>
      </c>
      <c r="B71" s="85" t="s">
        <v>1482</v>
      </c>
      <c r="C71" s="85" t="s">
        <v>1482</v>
      </c>
      <c r="D71" s="56"/>
      <c r="E71" s="59"/>
      <c r="F71" s="56"/>
      <c r="G71" s="87"/>
      <c r="J71" s="56"/>
      <c r="K71" s="3"/>
    </row>
    <row r="72" spans="1:11" x14ac:dyDescent="0.25">
      <c r="A72" s="54" t="s">
        <v>1490</v>
      </c>
      <c r="B72" s="85">
        <v>23.113199999999999</v>
      </c>
      <c r="C72" s="85">
        <v>23.453900000000001</v>
      </c>
      <c r="D72" s="56"/>
      <c r="E72" s="59"/>
      <c r="F72" s="56"/>
      <c r="G72" s="87"/>
      <c r="J72" s="56"/>
      <c r="K72" s="3"/>
    </row>
    <row r="73" spans="1:11" x14ac:dyDescent="0.25">
      <c r="A73" s="54" t="s">
        <v>1491</v>
      </c>
      <c r="B73" s="85">
        <v>21.740400000000001</v>
      </c>
      <c r="C73" s="85">
        <v>22.0611</v>
      </c>
      <c r="D73" s="56"/>
      <c r="E73" s="59"/>
      <c r="F73" s="56"/>
      <c r="G73" s="87"/>
      <c r="J73" s="56"/>
      <c r="K73" s="3"/>
    </row>
    <row r="74" spans="1:11" x14ac:dyDescent="0.25">
      <c r="A74" s="54" t="s">
        <v>1492</v>
      </c>
      <c r="B74" s="85" t="s">
        <v>1482</v>
      </c>
      <c r="C74" s="85" t="s">
        <v>1482</v>
      </c>
      <c r="D74" s="56"/>
      <c r="E74" s="59"/>
      <c r="F74" s="56"/>
      <c r="G74" s="87"/>
      <c r="J74" s="56"/>
      <c r="K74" s="3"/>
    </row>
    <row r="75" spans="1:11" x14ac:dyDescent="0.25">
      <c r="A75" s="54" t="s">
        <v>1493</v>
      </c>
      <c r="B75" s="56"/>
      <c r="C75" s="56"/>
      <c r="D75" s="56"/>
      <c r="E75" s="59"/>
      <c r="F75" s="56"/>
      <c r="G75" s="87"/>
    </row>
    <row r="76" spans="1:11" x14ac:dyDescent="0.25">
      <c r="A76" s="54"/>
      <c r="B76" s="56"/>
      <c r="C76" s="56"/>
      <c r="D76" s="56"/>
      <c r="E76" s="56"/>
      <c r="F76" s="56"/>
      <c r="G76" s="66"/>
    </row>
    <row r="77" spans="1:11" x14ac:dyDescent="0.25">
      <c r="A77" s="54" t="s">
        <v>2006</v>
      </c>
      <c r="B77" s="85" t="s">
        <v>85</v>
      </c>
      <c r="C77" s="56"/>
      <c r="D77" s="56"/>
      <c r="E77" s="56"/>
      <c r="F77" s="56"/>
      <c r="G77" s="66"/>
    </row>
    <row r="78" spans="1:11" x14ac:dyDescent="0.25">
      <c r="A78" s="54" t="s">
        <v>2008</v>
      </c>
      <c r="B78" s="85" t="s">
        <v>85</v>
      </c>
      <c r="C78" s="56"/>
      <c r="D78" s="56"/>
      <c r="E78" s="56"/>
      <c r="F78" s="56"/>
      <c r="G78" s="66"/>
    </row>
    <row r="79" spans="1:11" ht="16.5" customHeight="1" x14ac:dyDescent="0.25">
      <c r="A79" s="84" t="s">
        <v>2009</v>
      </c>
      <c r="B79" s="85" t="s">
        <v>85</v>
      </c>
      <c r="C79" s="56"/>
      <c r="D79" s="56"/>
      <c r="E79" s="56"/>
      <c r="F79" s="56"/>
      <c r="G79" s="66"/>
    </row>
    <row r="80" spans="1:11" x14ac:dyDescent="0.25">
      <c r="A80" s="84" t="s">
        <v>2010</v>
      </c>
      <c r="B80" s="85" t="s">
        <v>85</v>
      </c>
      <c r="C80" s="56"/>
      <c r="D80" s="56"/>
      <c r="E80" s="56"/>
      <c r="F80" s="56"/>
      <c r="G80" s="66"/>
    </row>
    <row r="81" spans="1:7" x14ac:dyDescent="0.25">
      <c r="A81" s="54" t="s">
        <v>1494</v>
      </c>
      <c r="B81" s="88">
        <v>0.300099</v>
      </c>
      <c r="C81" s="56"/>
      <c r="D81" s="56"/>
      <c r="E81" s="56"/>
      <c r="F81" s="56"/>
      <c r="G81" s="66"/>
    </row>
    <row r="82" spans="1:7" ht="30" x14ac:dyDescent="0.25">
      <c r="A82" s="84" t="s">
        <v>2011</v>
      </c>
      <c r="B82" s="85" t="s">
        <v>85</v>
      </c>
      <c r="C82" s="56"/>
      <c r="D82" s="56"/>
      <c r="E82" s="56"/>
      <c r="F82" s="56"/>
      <c r="G82" s="66"/>
    </row>
    <row r="83" spans="1:7" ht="30" x14ac:dyDescent="0.25">
      <c r="A83" s="84" t="s">
        <v>1495</v>
      </c>
      <c r="B83" s="85" t="s">
        <v>85</v>
      </c>
      <c r="C83" s="56"/>
      <c r="D83" s="56"/>
      <c r="E83" s="56"/>
      <c r="F83" s="56"/>
      <c r="G83" s="66"/>
    </row>
    <row r="84" spans="1:7" x14ac:dyDescent="0.25">
      <c r="A84" s="54" t="s">
        <v>1607</v>
      </c>
      <c r="B84" s="85" t="s">
        <v>85</v>
      </c>
      <c r="C84" s="56"/>
      <c r="D84" s="56"/>
      <c r="E84" s="56"/>
      <c r="F84" s="56"/>
      <c r="G84" s="66"/>
    </row>
    <row r="85" spans="1:7" x14ac:dyDescent="0.25">
      <c r="A85" s="54" t="s">
        <v>1608</v>
      </c>
      <c r="B85" s="85" t="s">
        <v>85</v>
      </c>
      <c r="C85" s="56"/>
      <c r="D85" s="56"/>
      <c r="E85" s="56"/>
      <c r="F85" s="56"/>
      <c r="G85" s="66"/>
    </row>
    <row r="86" spans="1:7" ht="15.75" thickBot="1" x14ac:dyDescent="0.3">
      <c r="A86" s="89"/>
      <c r="B86" s="90"/>
      <c r="C86" s="90"/>
      <c r="D86" s="90"/>
      <c r="E86" s="90"/>
      <c r="F86" s="90"/>
      <c r="G86" s="91"/>
    </row>
    <row r="88" spans="1:7" ht="30" x14ac:dyDescent="0.25">
      <c r="A88" s="107" t="s">
        <v>2042</v>
      </c>
      <c r="B88" s="108" t="s">
        <v>2043</v>
      </c>
      <c r="C88" s="108" t="s">
        <v>2044</v>
      </c>
      <c r="D88" s="109" t="s">
        <v>2045</v>
      </c>
    </row>
    <row r="89" spans="1:7" ht="55.15" customHeight="1" x14ac:dyDescent="0.25">
      <c r="A89" s="110" t="str">
        <f>HYPERLINK("[EDEL_Portfolio Monthly 28-Feb-2022.xlsx]EDACBF!A1","Edelweiss Money Market Fund")</f>
        <v>Edelweiss Money Market Fund</v>
      </c>
      <c r="B89" s="111"/>
      <c r="C89" s="111" t="s">
        <v>2046</v>
      </c>
      <c r="D89" s="111"/>
    </row>
  </sheetData>
  <mergeCells count="2">
    <mergeCell ref="A3:G3"/>
    <mergeCell ref="A4:G4"/>
  </mergeCells>
  <pageMargins left="0.7" right="0.7" top="0.75" bottom="0.75" header="0.3" footer="0.3"/>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3"/>
  <sheetViews>
    <sheetView showGridLines="0" workbookViewId="0">
      <pane ySplit="6" topLeftCell="A87" activePane="bottomLeft" state="frozen"/>
      <selection activeCell="J3" sqref="J3"/>
      <selection pane="bottomLeft" activeCell="H3" sqref="H3"/>
    </sheetView>
  </sheetViews>
  <sheetFormatPr defaultRowHeight="15" x14ac:dyDescent="0.25"/>
  <cols>
    <col min="1" max="1" width="76.140625" bestFit="1"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9</v>
      </c>
      <c r="B3" s="139"/>
      <c r="C3" s="139"/>
      <c r="D3" s="139"/>
      <c r="E3" s="139"/>
      <c r="F3" s="139"/>
      <c r="G3" s="140"/>
      <c r="H3" s="46" t="str">
        <f>HYPERLINK("[EDEL_Portfolio HY 31032022.xlsx]Index!A1","Index")</f>
        <v>Index</v>
      </c>
    </row>
    <row r="4" spans="1:8" ht="19.5" customHeight="1" x14ac:dyDescent="0.25">
      <c r="A4" s="141" t="s">
        <v>10</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84</v>
      </c>
      <c r="B9" s="31"/>
      <c r="C9" s="31"/>
      <c r="D9" s="14"/>
      <c r="E9" s="52" t="s">
        <v>85</v>
      </c>
      <c r="F9" s="53" t="s">
        <v>85</v>
      </c>
      <c r="G9" s="75"/>
    </row>
    <row r="10" spans="1:8" x14ac:dyDescent="0.25">
      <c r="A10" s="74"/>
      <c r="B10" s="31"/>
      <c r="C10" s="31"/>
      <c r="D10" s="14"/>
      <c r="E10" s="15"/>
      <c r="F10" s="16"/>
      <c r="G10" s="75"/>
    </row>
    <row r="11" spans="1:8" x14ac:dyDescent="0.25">
      <c r="A11" s="76" t="s">
        <v>86</v>
      </c>
      <c r="B11" s="31"/>
      <c r="C11" s="31"/>
      <c r="D11" s="14"/>
      <c r="E11" s="15"/>
      <c r="F11" s="16"/>
      <c r="G11" s="75"/>
    </row>
    <row r="12" spans="1:8" x14ac:dyDescent="0.25">
      <c r="A12" s="76" t="s">
        <v>87</v>
      </c>
      <c r="B12" s="31"/>
      <c r="C12" s="31"/>
      <c r="D12" s="14"/>
      <c r="E12" s="15"/>
      <c r="F12" s="16"/>
      <c r="G12" s="75"/>
    </row>
    <row r="13" spans="1:8" x14ac:dyDescent="0.25">
      <c r="A13" s="74" t="s">
        <v>1627</v>
      </c>
      <c r="B13" s="31" t="s">
        <v>117</v>
      </c>
      <c r="C13" s="31" t="s">
        <v>118</v>
      </c>
      <c r="D13" s="14">
        <v>50500000</v>
      </c>
      <c r="E13" s="15">
        <v>51366.43</v>
      </c>
      <c r="F13" s="16">
        <v>0.11550000000000001</v>
      </c>
      <c r="G13" s="75">
        <v>5.0500000000000003E-2</v>
      </c>
    </row>
    <row r="14" spans="1:8" x14ac:dyDescent="0.25">
      <c r="A14" s="74" t="s">
        <v>1628</v>
      </c>
      <c r="B14" s="31" t="s">
        <v>119</v>
      </c>
      <c r="C14" s="31" t="s">
        <v>118</v>
      </c>
      <c r="D14" s="14">
        <v>50300000</v>
      </c>
      <c r="E14" s="15">
        <v>51139.66</v>
      </c>
      <c r="F14" s="16">
        <v>0.1149</v>
      </c>
      <c r="G14" s="75">
        <v>5.0200000000000002E-2</v>
      </c>
    </row>
    <row r="15" spans="1:8" x14ac:dyDescent="0.25">
      <c r="A15" s="74" t="s">
        <v>1629</v>
      </c>
      <c r="B15" s="31" t="s">
        <v>120</v>
      </c>
      <c r="C15" s="31" t="s">
        <v>121</v>
      </c>
      <c r="D15" s="14">
        <v>50000000</v>
      </c>
      <c r="E15" s="15">
        <v>50960.7</v>
      </c>
      <c r="F15" s="16">
        <v>0.1145</v>
      </c>
      <c r="G15" s="75">
        <v>5.0900000000000001E-2</v>
      </c>
    </row>
    <row r="16" spans="1:8" x14ac:dyDescent="0.25">
      <c r="A16" s="74" t="s">
        <v>1630</v>
      </c>
      <c r="B16" s="31" t="s">
        <v>122</v>
      </c>
      <c r="C16" s="31" t="s">
        <v>121</v>
      </c>
      <c r="D16" s="14">
        <v>39000000</v>
      </c>
      <c r="E16" s="15">
        <v>39803.949999999997</v>
      </c>
      <c r="F16" s="16">
        <v>8.9499999999999996E-2</v>
      </c>
      <c r="G16" s="75">
        <v>4.9499000000000001E-2</v>
      </c>
    </row>
    <row r="17" spans="1:7" x14ac:dyDescent="0.25">
      <c r="A17" s="74" t="s">
        <v>1631</v>
      </c>
      <c r="B17" s="31" t="s">
        <v>123</v>
      </c>
      <c r="C17" s="31" t="s">
        <v>121</v>
      </c>
      <c r="D17" s="14">
        <v>39000000</v>
      </c>
      <c r="E17" s="15">
        <v>39626.03</v>
      </c>
      <c r="F17" s="16">
        <v>8.9099999999999999E-2</v>
      </c>
      <c r="G17" s="75">
        <v>4.9599999999999998E-2</v>
      </c>
    </row>
    <row r="18" spans="1:7" x14ac:dyDescent="0.25">
      <c r="A18" s="74" t="s">
        <v>1632</v>
      </c>
      <c r="B18" s="31" t="s">
        <v>124</v>
      </c>
      <c r="C18" s="31" t="s">
        <v>121</v>
      </c>
      <c r="D18" s="14">
        <v>26500000</v>
      </c>
      <c r="E18" s="15">
        <v>26902.99</v>
      </c>
      <c r="F18" s="16">
        <v>6.0499999999999998E-2</v>
      </c>
      <c r="G18" s="75">
        <v>4.9000000000000002E-2</v>
      </c>
    </row>
    <row r="19" spans="1:7" x14ac:dyDescent="0.25">
      <c r="A19" s="74" t="s">
        <v>1633</v>
      </c>
      <c r="B19" s="31" t="s">
        <v>125</v>
      </c>
      <c r="C19" s="31" t="s">
        <v>121</v>
      </c>
      <c r="D19" s="14">
        <v>26500000</v>
      </c>
      <c r="E19" s="15">
        <v>26880.04</v>
      </c>
      <c r="F19" s="16">
        <v>6.0400000000000002E-2</v>
      </c>
      <c r="G19" s="75">
        <v>4.9200000000000001E-2</v>
      </c>
    </row>
    <row r="20" spans="1:7" x14ac:dyDescent="0.25">
      <c r="A20" s="74" t="s">
        <v>1634</v>
      </c>
      <c r="B20" s="31" t="s">
        <v>126</v>
      </c>
      <c r="C20" s="31" t="s">
        <v>121</v>
      </c>
      <c r="D20" s="14">
        <v>26000000</v>
      </c>
      <c r="E20" s="15">
        <v>26368.68</v>
      </c>
      <c r="F20" s="16">
        <v>5.9299999999999999E-2</v>
      </c>
      <c r="G20" s="75">
        <v>5.1999999999999998E-2</v>
      </c>
    </row>
    <row r="21" spans="1:7" x14ac:dyDescent="0.25">
      <c r="A21" s="74" t="s">
        <v>1635</v>
      </c>
      <c r="B21" s="31" t="s">
        <v>127</v>
      </c>
      <c r="C21" s="31" t="s">
        <v>121</v>
      </c>
      <c r="D21" s="14">
        <v>22500000</v>
      </c>
      <c r="E21" s="15">
        <v>23318.98</v>
      </c>
      <c r="F21" s="16">
        <v>5.2400000000000002E-2</v>
      </c>
      <c r="G21" s="75">
        <v>4.7649999999999998E-2</v>
      </c>
    </row>
    <row r="22" spans="1:7" x14ac:dyDescent="0.25">
      <c r="A22" s="74" t="s">
        <v>1636</v>
      </c>
      <c r="B22" s="31" t="s">
        <v>128</v>
      </c>
      <c r="C22" s="31" t="s">
        <v>89</v>
      </c>
      <c r="D22" s="14">
        <v>16000000</v>
      </c>
      <c r="E22" s="15">
        <v>16580.3</v>
      </c>
      <c r="F22" s="16">
        <v>3.73E-2</v>
      </c>
      <c r="G22" s="75">
        <v>5.11E-2</v>
      </c>
    </row>
    <row r="23" spans="1:7" x14ac:dyDescent="0.25">
      <c r="A23" s="74" t="s">
        <v>1637</v>
      </c>
      <c r="B23" s="31" t="s">
        <v>129</v>
      </c>
      <c r="C23" s="31" t="s">
        <v>121</v>
      </c>
      <c r="D23" s="14">
        <v>10500000</v>
      </c>
      <c r="E23" s="15">
        <v>10806.02</v>
      </c>
      <c r="F23" s="16">
        <v>2.4299999999999999E-2</v>
      </c>
      <c r="G23" s="75">
        <v>4.8050000000000002E-2</v>
      </c>
    </row>
    <row r="24" spans="1:7" x14ac:dyDescent="0.25">
      <c r="A24" s="74" t="s">
        <v>1638</v>
      </c>
      <c r="B24" s="31" t="s">
        <v>130</v>
      </c>
      <c r="C24" s="31" t="s">
        <v>121</v>
      </c>
      <c r="D24" s="14">
        <v>10000000</v>
      </c>
      <c r="E24" s="15">
        <v>10136.67</v>
      </c>
      <c r="F24" s="16">
        <v>2.2800000000000001E-2</v>
      </c>
      <c r="G24" s="75">
        <v>4.965E-2</v>
      </c>
    </row>
    <row r="25" spans="1:7" x14ac:dyDescent="0.25">
      <c r="A25" s="74" t="s">
        <v>1639</v>
      </c>
      <c r="B25" s="31" t="s">
        <v>131</v>
      </c>
      <c r="C25" s="31" t="s">
        <v>89</v>
      </c>
      <c r="D25" s="14">
        <v>8000000</v>
      </c>
      <c r="E25" s="15">
        <v>8294.1</v>
      </c>
      <c r="F25" s="16">
        <v>1.8599999999999998E-2</v>
      </c>
      <c r="G25" s="75">
        <v>4.9700000000000001E-2</v>
      </c>
    </row>
    <row r="26" spans="1:7" x14ac:dyDescent="0.25">
      <c r="A26" s="74" t="s">
        <v>1640</v>
      </c>
      <c r="B26" s="31" t="s">
        <v>132</v>
      </c>
      <c r="C26" s="31" t="s">
        <v>121</v>
      </c>
      <c r="D26" s="14">
        <v>5000000</v>
      </c>
      <c r="E26" s="15">
        <v>5173.75</v>
      </c>
      <c r="F26" s="16">
        <v>1.1599999999999999E-2</v>
      </c>
      <c r="G26" s="75">
        <v>4.82E-2</v>
      </c>
    </row>
    <row r="27" spans="1:7" x14ac:dyDescent="0.25">
      <c r="A27" s="74" t="s">
        <v>1641</v>
      </c>
      <c r="B27" s="31" t="s">
        <v>133</v>
      </c>
      <c r="C27" s="31" t="s">
        <v>118</v>
      </c>
      <c r="D27" s="14">
        <v>5000000</v>
      </c>
      <c r="E27" s="15">
        <v>5065.54</v>
      </c>
      <c r="F27" s="16">
        <v>1.14E-2</v>
      </c>
      <c r="G27" s="75">
        <v>4.7399999999999998E-2</v>
      </c>
    </row>
    <row r="28" spans="1:7" x14ac:dyDescent="0.25">
      <c r="A28" s="74" t="s">
        <v>1642</v>
      </c>
      <c r="B28" s="31" t="s">
        <v>134</v>
      </c>
      <c r="C28" s="31" t="s">
        <v>121</v>
      </c>
      <c r="D28" s="14">
        <v>4000000</v>
      </c>
      <c r="E28" s="15">
        <v>4146.29</v>
      </c>
      <c r="F28" s="16">
        <v>9.2999999999999992E-3</v>
      </c>
      <c r="G28" s="75">
        <v>4.7699999999999999E-2</v>
      </c>
    </row>
    <row r="29" spans="1:7" x14ac:dyDescent="0.25">
      <c r="A29" s="74" t="s">
        <v>1643</v>
      </c>
      <c r="B29" s="31" t="s">
        <v>135</v>
      </c>
      <c r="C29" s="31" t="s">
        <v>89</v>
      </c>
      <c r="D29" s="14">
        <v>4000000</v>
      </c>
      <c r="E29" s="15">
        <v>4140.93</v>
      </c>
      <c r="F29" s="16">
        <v>9.2999999999999992E-3</v>
      </c>
      <c r="G29" s="75">
        <v>4.8203999999999997E-2</v>
      </c>
    </row>
    <row r="30" spans="1:7" x14ac:dyDescent="0.25">
      <c r="A30" s="74" t="s">
        <v>1644</v>
      </c>
      <c r="B30" s="31" t="s">
        <v>136</v>
      </c>
      <c r="C30" s="31" t="s">
        <v>121</v>
      </c>
      <c r="D30" s="14">
        <v>3000000</v>
      </c>
      <c r="E30" s="15">
        <v>3039.67</v>
      </c>
      <c r="F30" s="16">
        <v>6.7999999999999996E-3</v>
      </c>
      <c r="G30" s="75">
        <v>4.6800000000000001E-2</v>
      </c>
    </row>
    <row r="31" spans="1:7" x14ac:dyDescent="0.25">
      <c r="A31" s="74" t="s">
        <v>1645</v>
      </c>
      <c r="B31" s="31" t="s">
        <v>137</v>
      </c>
      <c r="C31" s="31" t="s">
        <v>89</v>
      </c>
      <c r="D31" s="14">
        <v>2500000</v>
      </c>
      <c r="E31" s="15">
        <v>2587.34</v>
      </c>
      <c r="F31" s="16">
        <v>5.7999999999999996E-3</v>
      </c>
      <c r="G31" s="75">
        <v>4.82E-2</v>
      </c>
    </row>
    <row r="32" spans="1:7" x14ac:dyDescent="0.25">
      <c r="A32" s="74" t="s">
        <v>1654</v>
      </c>
      <c r="B32" s="31" t="s">
        <v>138</v>
      </c>
      <c r="C32" s="31" t="s">
        <v>121</v>
      </c>
      <c r="D32" s="14">
        <v>2500000</v>
      </c>
      <c r="E32" s="15">
        <v>2526.2399999999998</v>
      </c>
      <c r="F32" s="16">
        <v>5.7000000000000002E-3</v>
      </c>
      <c r="G32" s="75">
        <v>4.3999999999999997E-2</v>
      </c>
    </row>
    <row r="33" spans="1:7" x14ac:dyDescent="0.25">
      <c r="A33" s="74" t="s">
        <v>1646</v>
      </c>
      <c r="B33" s="31" t="s">
        <v>139</v>
      </c>
      <c r="C33" s="31" t="s">
        <v>121</v>
      </c>
      <c r="D33" s="14">
        <v>2500000</v>
      </c>
      <c r="E33" s="15">
        <v>2508.12</v>
      </c>
      <c r="F33" s="16">
        <v>5.5999999999999999E-3</v>
      </c>
      <c r="G33" s="75">
        <v>3.8198999999999997E-2</v>
      </c>
    </row>
    <row r="34" spans="1:7" x14ac:dyDescent="0.25">
      <c r="A34" s="74" t="s">
        <v>1647</v>
      </c>
      <c r="B34" s="31" t="s">
        <v>140</v>
      </c>
      <c r="C34" s="31" t="s">
        <v>121</v>
      </c>
      <c r="D34" s="14">
        <v>2000000</v>
      </c>
      <c r="E34" s="15">
        <v>2028.3</v>
      </c>
      <c r="F34" s="16">
        <v>4.5999999999999999E-3</v>
      </c>
      <c r="G34" s="75">
        <v>4.6399999999999997E-2</v>
      </c>
    </row>
    <row r="35" spans="1:7" x14ac:dyDescent="0.25">
      <c r="A35" s="74" t="s">
        <v>1648</v>
      </c>
      <c r="B35" s="31" t="s">
        <v>141</v>
      </c>
      <c r="C35" s="31" t="s">
        <v>121</v>
      </c>
      <c r="D35" s="14">
        <v>1500000</v>
      </c>
      <c r="E35" s="15">
        <v>1542.99</v>
      </c>
      <c r="F35" s="16">
        <v>3.5000000000000001E-3</v>
      </c>
      <c r="G35" s="75">
        <v>4.5749999999999999E-2</v>
      </c>
    </row>
    <row r="36" spans="1:7" x14ac:dyDescent="0.25">
      <c r="A36" s="74" t="s">
        <v>1649</v>
      </c>
      <c r="B36" s="31" t="s">
        <v>142</v>
      </c>
      <c r="C36" s="31" t="s">
        <v>121</v>
      </c>
      <c r="D36" s="14">
        <v>1000000</v>
      </c>
      <c r="E36" s="15">
        <v>1034.55</v>
      </c>
      <c r="F36" s="16">
        <v>2.3E-3</v>
      </c>
      <c r="G36" s="75">
        <v>4.8250000000000001E-2</v>
      </c>
    </row>
    <row r="37" spans="1:7" x14ac:dyDescent="0.25">
      <c r="A37" s="74" t="s">
        <v>1650</v>
      </c>
      <c r="B37" s="31" t="s">
        <v>143</v>
      </c>
      <c r="C37" s="31" t="s">
        <v>121</v>
      </c>
      <c r="D37" s="14">
        <v>1000000</v>
      </c>
      <c r="E37" s="15">
        <v>1033.52</v>
      </c>
      <c r="F37" s="16">
        <v>2.3E-3</v>
      </c>
      <c r="G37" s="75">
        <v>4.7149999999999997E-2</v>
      </c>
    </row>
    <row r="38" spans="1:7" x14ac:dyDescent="0.25">
      <c r="A38" s="74" t="s">
        <v>1655</v>
      </c>
      <c r="B38" s="31" t="s">
        <v>144</v>
      </c>
      <c r="C38" s="31" t="s">
        <v>121</v>
      </c>
      <c r="D38" s="14">
        <v>500000</v>
      </c>
      <c r="E38" s="15">
        <v>511.14</v>
      </c>
      <c r="F38" s="16">
        <v>1.1000000000000001E-3</v>
      </c>
      <c r="G38" s="75">
        <v>4.6899999999999997E-2</v>
      </c>
    </row>
    <row r="39" spans="1:7" x14ac:dyDescent="0.25">
      <c r="A39" s="74" t="s">
        <v>1651</v>
      </c>
      <c r="B39" s="31" t="s">
        <v>145</v>
      </c>
      <c r="C39" s="31" t="s">
        <v>146</v>
      </c>
      <c r="D39" s="14">
        <v>500000</v>
      </c>
      <c r="E39" s="15">
        <v>506.62</v>
      </c>
      <c r="F39" s="16">
        <v>1.1000000000000001E-3</v>
      </c>
      <c r="G39" s="75">
        <v>4.6449999999999998E-2</v>
      </c>
    </row>
    <row r="40" spans="1:7" x14ac:dyDescent="0.25">
      <c r="A40" s="74" t="s">
        <v>1652</v>
      </c>
      <c r="B40" s="31" t="s">
        <v>147</v>
      </c>
      <c r="C40" s="31" t="s">
        <v>146</v>
      </c>
      <c r="D40" s="14">
        <v>500000</v>
      </c>
      <c r="E40" s="15">
        <v>505.87</v>
      </c>
      <c r="F40" s="16">
        <v>1.1000000000000001E-3</v>
      </c>
      <c r="G40" s="75">
        <v>4.6449999999999998E-2</v>
      </c>
    </row>
    <row r="41" spans="1:7" x14ac:dyDescent="0.25">
      <c r="A41" s="74" t="s">
        <v>1653</v>
      </c>
      <c r="B41" s="31" t="s">
        <v>148</v>
      </c>
      <c r="C41" s="31" t="s">
        <v>121</v>
      </c>
      <c r="D41" s="14">
        <v>500000</v>
      </c>
      <c r="E41" s="15">
        <v>505.83</v>
      </c>
      <c r="F41" s="16">
        <v>1.1000000000000001E-3</v>
      </c>
      <c r="G41" s="75">
        <v>4.6249999999999999E-2</v>
      </c>
    </row>
    <row r="42" spans="1:7" x14ac:dyDescent="0.25">
      <c r="A42" s="76" t="s">
        <v>90</v>
      </c>
      <c r="B42" s="32"/>
      <c r="C42" s="32"/>
      <c r="D42" s="18"/>
      <c r="E42" s="35">
        <v>419041.25</v>
      </c>
      <c r="F42" s="36">
        <v>0.94169999999999998</v>
      </c>
      <c r="G42" s="77"/>
    </row>
    <row r="43" spans="1:7" x14ac:dyDescent="0.25">
      <c r="A43" s="74"/>
      <c r="B43" s="31"/>
      <c r="C43" s="31"/>
      <c r="D43" s="14"/>
      <c r="E43" s="15"/>
      <c r="F43" s="16"/>
      <c r="G43" s="75"/>
    </row>
    <row r="44" spans="1:7" x14ac:dyDescent="0.25">
      <c r="A44" s="76" t="s">
        <v>91</v>
      </c>
      <c r="B44" s="31"/>
      <c r="C44" s="31"/>
      <c r="D44" s="14"/>
      <c r="E44" s="15"/>
      <c r="F44" s="16"/>
      <c r="G44" s="75"/>
    </row>
    <row r="45" spans="1:7" x14ac:dyDescent="0.25">
      <c r="A45" s="76" t="s">
        <v>90</v>
      </c>
      <c r="B45" s="31"/>
      <c r="C45" s="31"/>
      <c r="D45" s="14"/>
      <c r="E45" s="37" t="s">
        <v>85</v>
      </c>
      <c r="F45" s="38" t="s">
        <v>85</v>
      </c>
      <c r="G45" s="75"/>
    </row>
    <row r="46" spans="1:7" x14ac:dyDescent="0.25">
      <c r="A46" s="74"/>
      <c r="B46" s="31"/>
      <c r="C46" s="31"/>
      <c r="D46" s="14"/>
      <c r="E46" s="15"/>
      <c r="F46" s="16"/>
      <c r="G46" s="75"/>
    </row>
    <row r="47" spans="1:7" x14ac:dyDescent="0.25">
      <c r="A47" s="76" t="s">
        <v>92</v>
      </c>
      <c r="B47" s="31"/>
      <c r="C47" s="31"/>
      <c r="D47" s="14"/>
      <c r="E47" s="15"/>
      <c r="F47" s="16"/>
      <c r="G47" s="75"/>
    </row>
    <row r="48" spans="1:7" x14ac:dyDescent="0.25">
      <c r="A48" s="76" t="s">
        <v>90</v>
      </c>
      <c r="B48" s="31"/>
      <c r="C48" s="31"/>
      <c r="D48" s="14"/>
      <c r="E48" s="37" t="s">
        <v>85</v>
      </c>
      <c r="F48" s="38" t="s">
        <v>85</v>
      </c>
      <c r="G48" s="75"/>
    </row>
    <row r="49" spans="1:7" x14ac:dyDescent="0.25">
      <c r="A49" s="74"/>
      <c r="B49" s="31"/>
      <c r="C49" s="31"/>
      <c r="D49" s="14"/>
      <c r="E49" s="15"/>
      <c r="F49" s="16"/>
      <c r="G49" s="75"/>
    </row>
    <row r="50" spans="1:7" x14ac:dyDescent="0.25">
      <c r="A50" s="78" t="s">
        <v>93</v>
      </c>
      <c r="B50" s="79"/>
      <c r="C50" s="79"/>
      <c r="D50" s="80"/>
      <c r="E50" s="35">
        <v>419041.25</v>
      </c>
      <c r="F50" s="36">
        <v>0.94169999999999998</v>
      </c>
      <c r="G50" s="77"/>
    </row>
    <row r="51" spans="1:7" x14ac:dyDescent="0.25">
      <c r="A51" s="74"/>
      <c r="B51" s="31"/>
      <c r="C51" s="31"/>
      <c r="D51" s="14"/>
      <c r="E51" s="15"/>
      <c r="F51" s="16"/>
      <c r="G51" s="75"/>
    </row>
    <row r="52" spans="1:7" x14ac:dyDescent="0.25">
      <c r="A52" s="76" t="s">
        <v>94</v>
      </c>
      <c r="B52" s="31"/>
      <c r="C52" s="31"/>
      <c r="D52" s="14"/>
      <c r="E52" s="15"/>
      <c r="F52" s="16"/>
      <c r="G52" s="75"/>
    </row>
    <row r="53" spans="1:7" x14ac:dyDescent="0.25">
      <c r="A53" s="76" t="s">
        <v>95</v>
      </c>
      <c r="B53" s="31"/>
      <c r="C53" s="31"/>
      <c r="D53" s="14"/>
      <c r="E53" s="15"/>
      <c r="F53" s="16"/>
      <c r="G53" s="75"/>
    </row>
    <row r="54" spans="1:7" x14ac:dyDescent="0.25">
      <c r="A54" s="74" t="s">
        <v>1656</v>
      </c>
      <c r="B54" s="31" t="s">
        <v>149</v>
      </c>
      <c r="C54" s="31" t="s">
        <v>97</v>
      </c>
      <c r="D54" s="14">
        <v>12500000</v>
      </c>
      <c r="E54" s="15">
        <v>11947.65</v>
      </c>
      <c r="F54" s="16">
        <v>2.69E-2</v>
      </c>
      <c r="G54" s="75">
        <v>4.7399999999999998E-2</v>
      </c>
    </row>
    <row r="55" spans="1:7" x14ac:dyDescent="0.25">
      <c r="A55" s="76" t="s">
        <v>90</v>
      </c>
      <c r="B55" s="32"/>
      <c r="C55" s="32"/>
      <c r="D55" s="18"/>
      <c r="E55" s="35">
        <v>11947.65</v>
      </c>
      <c r="F55" s="36">
        <v>2.69E-2</v>
      </c>
      <c r="G55" s="77"/>
    </row>
    <row r="56" spans="1:7" x14ac:dyDescent="0.25">
      <c r="A56" s="74"/>
      <c r="B56" s="31"/>
      <c r="C56" s="31"/>
      <c r="D56" s="14"/>
      <c r="E56" s="15"/>
      <c r="F56" s="16"/>
      <c r="G56" s="75"/>
    </row>
    <row r="57" spans="1:7" x14ac:dyDescent="0.25">
      <c r="A57" s="78" t="s">
        <v>93</v>
      </c>
      <c r="B57" s="79"/>
      <c r="C57" s="79"/>
      <c r="D57" s="80"/>
      <c r="E57" s="35">
        <v>11947.65</v>
      </c>
      <c r="F57" s="36">
        <v>2.69E-2</v>
      </c>
      <c r="G57" s="77"/>
    </row>
    <row r="58" spans="1:7" x14ac:dyDescent="0.25">
      <c r="A58" s="74"/>
      <c r="B58" s="31"/>
      <c r="C58" s="31"/>
      <c r="D58" s="14"/>
      <c r="E58" s="15"/>
      <c r="F58" s="16"/>
      <c r="G58" s="75"/>
    </row>
    <row r="59" spans="1:7" x14ac:dyDescent="0.25">
      <c r="A59" s="74"/>
      <c r="B59" s="31"/>
      <c r="C59" s="31"/>
      <c r="D59" s="14"/>
      <c r="E59" s="15"/>
      <c r="F59" s="16"/>
      <c r="G59" s="75"/>
    </row>
    <row r="60" spans="1:7" x14ac:dyDescent="0.25">
      <c r="A60" s="76" t="s">
        <v>110</v>
      </c>
      <c r="B60" s="31"/>
      <c r="C60" s="31"/>
      <c r="D60" s="14"/>
      <c r="E60" s="15"/>
      <c r="F60" s="16"/>
      <c r="G60" s="75"/>
    </row>
    <row r="61" spans="1:7" x14ac:dyDescent="0.25">
      <c r="A61" s="74" t="s">
        <v>111</v>
      </c>
      <c r="B61" s="31"/>
      <c r="C61" s="31"/>
      <c r="D61" s="14"/>
      <c r="E61" s="15">
        <v>3849.49</v>
      </c>
      <c r="F61" s="16">
        <v>8.6999999999999994E-3</v>
      </c>
      <c r="G61" s="75">
        <v>3.5790000000000002E-2</v>
      </c>
    </row>
    <row r="62" spans="1:7" x14ac:dyDescent="0.25">
      <c r="A62" s="76" t="s">
        <v>90</v>
      </c>
      <c r="B62" s="32"/>
      <c r="C62" s="32"/>
      <c r="D62" s="18"/>
      <c r="E62" s="35">
        <v>3849.49</v>
      </c>
      <c r="F62" s="36">
        <v>8.6999999999999994E-3</v>
      </c>
      <c r="G62" s="77"/>
    </row>
    <row r="63" spans="1:7" x14ac:dyDescent="0.25">
      <c r="A63" s="74"/>
      <c r="B63" s="31"/>
      <c r="C63" s="31"/>
      <c r="D63" s="14"/>
      <c r="E63" s="15"/>
      <c r="F63" s="16"/>
      <c r="G63" s="75"/>
    </row>
    <row r="64" spans="1:7" x14ac:dyDescent="0.25">
      <c r="A64" s="78" t="s">
        <v>93</v>
      </c>
      <c r="B64" s="79"/>
      <c r="C64" s="79"/>
      <c r="D64" s="80"/>
      <c r="E64" s="35">
        <v>3849.49</v>
      </c>
      <c r="F64" s="36">
        <v>8.6999999999999994E-3</v>
      </c>
      <c r="G64" s="77"/>
    </row>
    <row r="65" spans="1:7" x14ac:dyDescent="0.25">
      <c r="A65" s="74" t="s">
        <v>112</v>
      </c>
      <c r="B65" s="31"/>
      <c r="C65" s="31"/>
      <c r="D65" s="14"/>
      <c r="E65" s="15">
        <v>10062.739297</v>
      </c>
      <c r="F65" s="16">
        <v>2.2616000000000001E-2</v>
      </c>
      <c r="G65" s="75"/>
    </row>
    <row r="66" spans="1:7" x14ac:dyDescent="0.25">
      <c r="A66" s="74" t="s">
        <v>113</v>
      </c>
      <c r="B66" s="31"/>
      <c r="C66" s="31"/>
      <c r="D66" s="14"/>
      <c r="E66" s="15">
        <v>19.310703</v>
      </c>
      <c r="F66" s="16">
        <v>8.3999999999999995E-5</v>
      </c>
      <c r="G66" s="75">
        <v>3.5790000000000002E-2</v>
      </c>
    </row>
    <row r="67" spans="1:7" x14ac:dyDescent="0.25">
      <c r="A67" s="81" t="s">
        <v>114</v>
      </c>
      <c r="B67" s="34"/>
      <c r="C67" s="34"/>
      <c r="D67" s="27"/>
      <c r="E67" s="28">
        <v>444920.44</v>
      </c>
      <c r="F67" s="29">
        <v>1</v>
      </c>
      <c r="G67" s="82"/>
    </row>
    <row r="68" spans="1:7" x14ac:dyDescent="0.25">
      <c r="A68" s="54"/>
      <c r="B68" s="56"/>
      <c r="C68" s="56"/>
      <c r="D68" s="56"/>
      <c r="E68" s="56"/>
      <c r="F68" s="56"/>
      <c r="G68" s="66"/>
    </row>
    <row r="69" spans="1:7" x14ac:dyDescent="0.25">
      <c r="A69" s="83" t="s">
        <v>115</v>
      </c>
      <c r="B69" s="56"/>
      <c r="C69" s="56"/>
      <c r="D69" s="56"/>
      <c r="E69" s="56"/>
      <c r="F69" s="56"/>
      <c r="G69" s="66"/>
    </row>
    <row r="70" spans="1:7" x14ac:dyDescent="0.25">
      <c r="A70" s="83" t="s">
        <v>116</v>
      </c>
      <c r="B70" s="56"/>
      <c r="C70" s="56"/>
      <c r="D70" s="56"/>
      <c r="E70" s="56"/>
      <c r="F70" s="56"/>
      <c r="G70" s="66"/>
    </row>
    <row r="71" spans="1:7" x14ac:dyDescent="0.25">
      <c r="A71" s="54"/>
      <c r="B71" s="56"/>
      <c r="C71" s="56"/>
      <c r="D71" s="56"/>
      <c r="E71" s="56"/>
      <c r="F71" s="56"/>
      <c r="G71" s="66"/>
    </row>
    <row r="72" spans="1:7" x14ac:dyDescent="0.25">
      <c r="A72" s="83" t="s">
        <v>1476</v>
      </c>
      <c r="B72" s="56"/>
      <c r="C72" s="56"/>
      <c r="D72" s="56"/>
      <c r="E72" s="56"/>
      <c r="F72" s="56"/>
      <c r="G72" s="66"/>
    </row>
    <row r="73" spans="1:7" x14ac:dyDescent="0.25">
      <c r="A73" s="84" t="s">
        <v>1477</v>
      </c>
      <c r="B73" s="85" t="s">
        <v>85</v>
      </c>
      <c r="C73" s="56"/>
      <c r="D73" s="56"/>
      <c r="E73" s="56"/>
      <c r="F73" s="56"/>
      <c r="G73" s="66"/>
    </row>
    <row r="74" spans="1:7" x14ac:dyDescent="0.25">
      <c r="A74" s="54" t="s">
        <v>1626</v>
      </c>
      <c r="B74" s="56"/>
      <c r="C74" s="56"/>
      <c r="D74" s="56"/>
      <c r="E74" s="56"/>
      <c r="F74" s="56"/>
      <c r="G74" s="66"/>
    </row>
    <row r="75" spans="1:7" x14ac:dyDescent="0.25">
      <c r="A75" s="54" t="s">
        <v>1496</v>
      </c>
      <c r="B75" s="85" t="s">
        <v>1479</v>
      </c>
      <c r="C75" s="85" t="s">
        <v>1479</v>
      </c>
      <c r="D75" s="56"/>
      <c r="E75" s="56"/>
      <c r="F75" s="56"/>
      <c r="G75" s="66"/>
    </row>
    <row r="76" spans="1:7" x14ac:dyDescent="0.25">
      <c r="A76" s="54"/>
      <c r="B76" s="86">
        <v>44469</v>
      </c>
      <c r="C76" s="86">
        <v>44651</v>
      </c>
      <c r="D76" s="56"/>
      <c r="E76" s="56"/>
      <c r="F76" s="56"/>
      <c r="G76" s="66"/>
    </row>
    <row r="77" spans="1:7" x14ac:dyDescent="0.25">
      <c r="A77" s="54" t="s">
        <v>1497</v>
      </c>
      <c r="B77" s="56">
        <v>1147.8796</v>
      </c>
      <c r="C77" s="56">
        <v>1170.4376</v>
      </c>
      <c r="D77" s="56"/>
      <c r="E77" s="59"/>
      <c r="F77" s="56"/>
      <c r="G77" s="87"/>
    </row>
    <row r="78" spans="1:7" x14ac:dyDescent="0.25">
      <c r="A78" s="54"/>
      <c r="B78" s="56"/>
      <c r="C78" s="56"/>
      <c r="D78" s="56"/>
      <c r="E78" s="59"/>
      <c r="F78" s="56"/>
      <c r="G78" s="87"/>
    </row>
    <row r="79" spans="1:7" x14ac:dyDescent="0.25">
      <c r="A79" s="54" t="s">
        <v>2006</v>
      </c>
      <c r="B79" s="85" t="s">
        <v>85</v>
      </c>
      <c r="C79" s="56"/>
      <c r="D79" s="56"/>
      <c r="E79" s="56"/>
      <c r="F79" s="56"/>
      <c r="G79" s="66"/>
    </row>
    <row r="80" spans="1:7" x14ac:dyDescent="0.25">
      <c r="A80" s="54" t="s">
        <v>2008</v>
      </c>
      <c r="B80" s="85" t="s">
        <v>85</v>
      </c>
      <c r="C80" s="56"/>
      <c r="D80" s="56"/>
      <c r="E80" s="56"/>
      <c r="F80" s="56"/>
      <c r="G80" s="66"/>
    </row>
    <row r="81" spans="1:7" x14ac:dyDescent="0.25">
      <c r="A81" s="84" t="s">
        <v>2009</v>
      </c>
      <c r="B81" s="85" t="s">
        <v>85</v>
      </c>
      <c r="C81" s="56"/>
      <c r="D81" s="56"/>
      <c r="E81" s="56"/>
      <c r="F81" s="56"/>
      <c r="G81" s="66"/>
    </row>
    <row r="82" spans="1:7" x14ac:dyDescent="0.25">
      <c r="A82" s="84" t="s">
        <v>2010</v>
      </c>
      <c r="B82" s="85" t="s">
        <v>85</v>
      </c>
      <c r="C82" s="56"/>
      <c r="D82" s="56"/>
      <c r="E82" s="56"/>
      <c r="F82" s="56"/>
      <c r="G82" s="66"/>
    </row>
    <row r="83" spans="1:7" x14ac:dyDescent="0.25">
      <c r="A83" s="54" t="s">
        <v>1494</v>
      </c>
      <c r="B83" s="88">
        <v>0.96605700000000005</v>
      </c>
      <c r="C83" s="56"/>
      <c r="D83" s="56"/>
      <c r="E83" s="56"/>
      <c r="F83" s="56"/>
      <c r="G83" s="66"/>
    </row>
    <row r="84" spans="1:7" ht="30" x14ac:dyDescent="0.25">
      <c r="A84" s="84" t="s">
        <v>2011</v>
      </c>
      <c r="B84" s="85" t="s">
        <v>85</v>
      </c>
      <c r="C84" s="56"/>
      <c r="D84" s="56"/>
      <c r="E84" s="56"/>
      <c r="F84" s="56"/>
      <c r="G84" s="66"/>
    </row>
    <row r="85" spans="1:7" ht="30" x14ac:dyDescent="0.25">
      <c r="A85" s="84" t="s">
        <v>1495</v>
      </c>
      <c r="B85" s="85" t="s">
        <v>85</v>
      </c>
      <c r="C85" s="56"/>
      <c r="D85" s="56"/>
      <c r="E85" s="56"/>
      <c r="F85" s="56"/>
      <c r="G85" s="66"/>
    </row>
    <row r="86" spans="1:7" ht="30" x14ac:dyDescent="0.25">
      <c r="A86" s="84" t="s">
        <v>1498</v>
      </c>
      <c r="B86" s="88">
        <v>126257.71</v>
      </c>
      <c r="C86" s="56"/>
      <c r="D86" s="56"/>
      <c r="E86" s="56"/>
      <c r="F86" s="56"/>
      <c r="G86" s="66"/>
    </row>
    <row r="87" spans="1:7" x14ac:dyDescent="0.25">
      <c r="A87" s="54" t="s">
        <v>1609</v>
      </c>
      <c r="B87" s="85" t="s">
        <v>85</v>
      </c>
      <c r="C87" s="56"/>
      <c r="D87" s="56"/>
      <c r="E87" s="56"/>
      <c r="F87" s="56"/>
      <c r="G87" s="66"/>
    </row>
    <row r="88" spans="1:7" x14ac:dyDescent="0.25">
      <c r="A88" s="54" t="s">
        <v>1610</v>
      </c>
      <c r="B88" s="85" t="s">
        <v>85</v>
      </c>
      <c r="C88" s="56"/>
      <c r="D88" s="56"/>
      <c r="E88" s="56"/>
      <c r="F88" s="56"/>
      <c r="G88" s="66"/>
    </row>
    <row r="89" spans="1:7" ht="15.75" thickBot="1" x14ac:dyDescent="0.3">
      <c r="A89" s="89"/>
      <c r="B89" s="90"/>
      <c r="C89" s="90"/>
      <c r="D89" s="90"/>
      <c r="E89" s="90"/>
      <c r="F89" s="90"/>
      <c r="G89" s="91"/>
    </row>
    <row r="92" spans="1:7" ht="30" x14ac:dyDescent="0.25">
      <c r="A92" s="107" t="s">
        <v>2042</v>
      </c>
      <c r="B92" s="108" t="s">
        <v>2043</v>
      </c>
      <c r="C92" s="108" t="s">
        <v>2044</v>
      </c>
      <c r="D92" s="109" t="s">
        <v>2045</v>
      </c>
    </row>
    <row r="93" spans="1:7" ht="30" x14ac:dyDescent="0.25">
      <c r="A93" s="110" t="str">
        <f>HYPERLINK("[EDEL_Portfolio Monthly 28-Feb-2022.xlsx]EDBE23!A1","BHARAT Bond ETF - April 2023")</f>
        <v>BHARAT Bond ETF - April 2023</v>
      </c>
      <c r="B93" s="111"/>
      <c r="C93" s="112" t="s">
        <v>2047</v>
      </c>
      <c r="D93" s="111"/>
    </row>
  </sheetData>
  <mergeCells count="2">
    <mergeCell ref="A3:G3"/>
    <mergeCell ref="A4:G4"/>
  </mergeCells>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5"/>
  <sheetViews>
    <sheetView showGridLines="0" workbookViewId="0">
      <pane ySplit="6" topLeftCell="A100" activePane="bottomLeft" state="frozen"/>
      <selection activeCell="J3" sqref="J3"/>
      <selection pane="bottomLeft" activeCell="J3" sqref="J3"/>
    </sheetView>
  </sheetViews>
  <sheetFormatPr defaultRowHeight="15" x14ac:dyDescent="0.25"/>
  <cols>
    <col min="1" max="1" width="81.85546875" bestFit="1"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11</v>
      </c>
      <c r="B3" s="139"/>
      <c r="C3" s="139"/>
      <c r="D3" s="139"/>
      <c r="E3" s="139"/>
      <c r="F3" s="139"/>
      <c r="G3" s="140"/>
      <c r="H3" s="46" t="str">
        <f>HYPERLINK("[EDEL_Portfolio HY 31032022.xlsx]Index!A1","Index")</f>
        <v>Index</v>
      </c>
    </row>
    <row r="4" spans="1:8" ht="19.5" customHeight="1" x14ac:dyDescent="0.25">
      <c r="A4" s="141" t="s">
        <v>12</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84</v>
      </c>
      <c r="B9" s="31"/>
      <c r="C9" s="31"/>
      <c r="D9" s="14"/>
      <c r="E9" s="52" t="s">
        <v>85</v>
      </c>
      <c r="F9" s="53" t="s">
        <v>85</v>
      </c>
      <c r="G9" s="75"/>
    </row>
    <row r="10" spans="1:8" x14ac:dyDescent="0.25">
      <c r="A10" s="74"/>
      <c r="B10" s="31"/>
      <c r="C10" s="31"/>
      <c r="D10" s="14"/>
      <c r="E10" s="15"/>
      <c r="F10" s="16"/>
      <c r="G10" s="75"/>
    </row>
    <row r="11" spans="1:8" x14ac:dyDescent="0.25">
      <c r="A11" s="76" t="s">
        <v>86</v>
      </c>
      <c r="B11" s="31"/>
      <c r="C11" s="31"/>
      <c r="D11" s="14"/>
      <c r="E11" s="15"/>
      <c r="F11" s="16"/>
      <c r="G11" s="75"/>
    </row>
    <row r="12" spans="1:8" x14ac:dyDescent="0.25">
      <c r="A12" s="76" t="s">
        <v>87</v>
      </c>
      <c r="B12" s="31"/>
      <c r="C12" s="31"/>
      <c r="D12" s="14"/>
      <c r="E12" s="15"/>
      <c r="F12" s="16"/>
      <c r="G12" s="75"/>
    </row>
    <row r="13" spans="1:8" x14ac:dyDescent="0.25">
      <c r="A13" s="74" t="s">
        <v>1657</v>
      </c>
      <c r="B13" s="31" t="s">
        <v>150</v>
      </c>
      <c r="C13" s="31" t="s">
        <v>121</v>
      </c>
      <c r="D13" s="14">
        <v>85000000</v>
      </c>
      <c r="E13" s="15">
        <v>84360.8</v>
      </c>
      <c r="F13" s="16">
        <v>8.3699999999999997E-2</v>
      </c>
      <c r="G13" s="75">
        <v>5.6750000000000002E-2</v>
      </c>
    </row>
    <row r="14" spans="1:8" x14ac:dyDescent="0.25">
      <c r="A14" s="74" t="s">
        <v>1658</v>
      </c>
      <c r="B14" s="31" t="s">
        <v>151</v>
      </c>
      <c r="C14" s="31" t="s">
        <v>121</v>
      </c>
      <c r="D14" s="14">
        <v>83500000</v>
      </c>
      <c r="E14" s="15">
        <v>82455.83</v>
      </c>
      <c r="F14" s="16">
        <v>8.1799999999999998E-2</v>
      </c>
      <c r="G14" s="75">
        <v>5.8200000000000002E-2</v>
      </c>
    </row>
    <row r="15" spans="1:8" x14ac:dyDescent="0.25">
      <c r="A15" s="74" t="s">
        <v>1697</v>
      </c>
      <c r="B15" s="31" t="s">
        <v>152</v>
      </c>
      <c r="C15" s="31" t="s">
        <v>89</v>
      </c>
      <c r="D15" s="14">
        <v>77500000</v>
      </c>
      <c r="E15" s="15">
        <v>77251.92</v>
      </c>
      <c r="F15" s="16">
        <v>7.6600000000000001E-2</v>
      </c>
      <c r="G15" s="75">
        <v>5.7075000000000001E-2</v>
      </c>
    </row>
    <row r="16" spans="1:8" x14ac:dyDescent="0.25">
      <c r="A16" s="74" t="s">
        <v>1659</v>
      </c>
      <c r="B16" s="31" t="s">
        <v>153</v>
      </c>
      <c r="C16" s="31" t="s">
        <v>121</v>
      </c>
      <c r="D16" s="14">
        <v>71500000</v>
      </c>
      <c r="E16" s="15">
        <v>71390.679999999993</v>
      </c>
      <c r="F16" s="16">
        <v>7.0800000000000002E-2</v>
      </c>
      <c r="G16" s="75">
        <v>5.9549999999999999E-2</v>
      </c>
    </row>
    <row r="17" spans="1:7" x14ac:dyDescent="0.25">
      <c r="A17" s="74" t="s">
        <v>1660</v>
      </c>
      <c r="B17" s="31" t="s">
        <v>154</v>
      </c>
      <c r="C17" s="31" t="s">
        <v>118</v>
      </c>
      <c r="D17" s="14">
        <v>66500000</v>
      </c>
      <c r="E17" s="15">
        <v>65671.61</v>
      </c>
      <c r="F17" s="16">
        <v>6.5199999999999994E-2</v>
      </c>
      <c r="G17" s="75">
        <v>5.9299999999999999E-2</v>
      </c>
    </row>
    <row r="18" spans="1:7" x14ac:dyDescent="0.25">
      <c r="A18" s="74" t="s">
        <v>1661</v>
      </c>
      <c r="B18" s="31" t="s">
        <v>155</v>
      </c>
      <c r="C18" s="31" t="s">
        <v>121</v>
      </c>
      <c r="D18" s="14">
        <v>65000000</v>
      </c>
      <c r="E18" s="15">
        <v>64644.71</v>
      </c>
      <c r="F18" s="16">
        <v>6.4100000000000004E-2</v>
      </c>
      <c r="G18" s="75">
        <v>5.9700000000000003E-2</v>
      </c>
    </row>
    <row r="19" spans="1:7" x14ac:dyDescent="0.25">
      <c r="A19" s="74" t="s">
        <v>1662</v>
      </c>
      <c r="B19" s="31" t="s">
        <v>156</v>
      </c>
      <c r="C19" s="31" t="s">
        <v>121</v>
      </c>
      <c r="D19" s="14">
        <v>61000000</v>
      </c>
      <c r="E19" s="15">
        <v>60086.59</v>
      </c>
      <c r="F19" s="16">
        <v>5.96E-2</v>
      </c>
      <c r="G19" s="75">
        <v>5.8099999999999999E-2</v>
      </c>
    </row>
    <row r="20" spans="1:7" x14ac:dyDescent="0.25">
      <c r="A20" s="74" t="s">
        <v>1663</v>
      </c>
      <c r="B20" s="31" t="s">
        <v>157</v>
      </c>
      <c r="C20" s="31" t="s">
        <v>118</v>
      </c>
      <c r="D20" s="14">
        <v>54000000</v>
      </c>
      <c r="E20" s="15">
        <v>53281.1</v>
      </c>
      <c r="F20" s="16">
        <v>5.2900000000000003E-2</v>
      </c>
      <c r="G20" s="75">
        <v>5.8400000000000001E-2</v>
      </c>
    </row>
    <row r="21" spans="1:7" x14ac:dyDescent="0.25">
      <c r="A21" s="74" t="s">
        <v>1664</v>
      </c>
      <c r="B21" s="31" t="s">
        <v>158</v>
      </c>
      <c r="C21" s="31" t="s">
        <v>121</v>
      </c>
      <c r="D21" s="14">
        <v>50500000</v>
      </c>
      <c r="E21" s="15">
        <v>52254.47</v>
      </c>
      <c r="F21" s="16">
        <v>5.1799999999999999E-2</v>
      </c>
      <c r="G21" s="75">
        <v>5.5E-2</v>
      </c>
    </row>
    <row r="22" spans="1:7" x14ac:dyDescent="0.25">
      <c r="A22" s="74" t="s">
        <v>1665</v>
      </c>
      <c r="B22" s="31" t="s">
        <v>159</v>
      </c>
      <c r="C22" s="31" t="s">
        <v>121</v>
      </c>
      <c r="D22" s="14">
        <v>46000000</v>
      </c>
      <c r="E22" s="15">
        <v>46761.07</v>
      </c>
      <c r="F22" s="16">
        <v>4.6399999999999997E-2</v>
      </c>
      <c r="G22" s="75">
        <v>5.7049999999999997E-2</v>
      </c>
    </row>
    <row r="23" spans="1:7" x14ac:dyDescent="0.25">
      <c r="A23" s="74" t="s">
        <v>1666</v>
      </c>
      <c r="B23" s="31" t="s">
        <v>160</v>
      </c>
      <c r="C23" s="31" t="s">
        <v>118</v>
      </c>
      <c r="D23" s="14">
        <v>41500000</v>
      </c>
      <c r="E23" s="15">
        <v>40974.53</v>
      </c>
      <c r="F23" s="16">
        <v>4.07E-2</v>
      </c>
      <c r="G23" s="75">
        <v>5.7149999999999999E-2</v>
      </c>
    </row>
    <row r="24" spans="1:7" x14ac:dyDescent="0.25">
      <c r="A24" s="74" t="s">
        <v>1667</v>
      </c>
      <c r="B24" s="31" t="s">
        <v>161</v>
      </c>
      <c r="C24" s="31" t="s">
        <v>121</v>
      </c>
      <c r="D24" s="14">
        <v>39500000</v>
      </c>
      <c r="E24" s="15">
        <v>38942.58</v>
      </c>
      <c r="F24" s="16">
        <v>3.8600000000000002E-2</v>
      </c>
      <c r="G24" s="75">
        <v>5.8597999999999997E-2</v>
      </c>
    </row>
    <row r="25" spans="1:7" x14ac:dyDescent="0.25">
      <c r="A25" s="74" t="s">
        <v>1668</v>
      </c>
      <c r="B25" s="31" t="s">
        <v>162</v>
      </c>
      <c r="C25" s="31" t="s">
        <v>121</v>
      </c>
      <c r="D25" s="14">
        <v>32500000</v>
      </c>
      <c r="E25" s="15">
        <v>33801.660000000003</v>
      </c>
      <c r="F25" s="16">
        <v>3.3500000000000002E-2</v>
      </c>
      <c r="G25" s="75">
        <v>5.7200000000000001E-2</v>
      </c>
    </row>
    <row r="26" spans="1:7" x14ac:dyDescent="0.25">
      <c r="A26" s="74" t="s">
        <v>1669</v>
      </c>
      <c r="B26" s="31" t="s">
        <v>163</v>
      </c>
      <c r="C26" s="31" t="s">
        <v>121</v>
      </c>
      <c r="D26" s="14">
        <v>22000000</v>
      </c>
      <c r="E26" s="15">
        <v>22844.36</v>
      </c>
      <c r="F26" s="16">
        <v>2.2700000000000001E-2</v>
      </c>
      <c r="G26" s="75">
        <v>5.475E-2</v>
      </c>
    </row>
    <row r="27" spans="1:7" x14ac:dyDescent="0.25">
      <c r="A27" s="74" t="s">
        <v>1698</v>
      </c>
      <c r="B27" s="31" t="s">
        <v>164</v>
      </c>
      <c r="C27" s="31" t="s">
        <v>118</v>
      </c>
      <c r="D27" s="14">
        <v>20000000</v>
      </c>
      <c r="E27" s="15">
        <v>19996.98</v>
      </c>
      <c r="F27" s="16">
        <v>1.9800000000000002E-2</v>
      </c>
      <c r="G27" s="75">
        <v>5.7049999999999997E-2</v>
      </c>
    </row>
    <row r="28" spans="1:7" x14ac:dyDescent="0.25">
      <c r="A28" s="74" t="s">
        <v>1670</v>
      </c>
      <c r="B28" s="31" t="s">
        <v>165</v>
      </c>
      <c r="C28" s="31" t="s">
        <v>121</v>
      </c>
      <c r="D28" s="14">
        <v>17000000</v>
      </c>
      <c r="E28" s="15">
        <v>17545.48</v>
      </c>
      <c r="F28" s="16">
        <v>1.7399999999999999E-2</v>
      </c>
      <c r="G28" s="75">
        <v>5.7782E-2</v>
      </c>
    </row>
    <row r="29" spans="1:7" x14ac:dyDescent="0.25">
      <c r="A29" s="74" t="s">
        <v>1671</v>
      </c>
      <c r="B29" s="31" t="s">
        <v>166</v>
      </c>
      <c r="C29" s="31" t="s">
        <v>121</v>
      </c>
      <c r="D29" s="14">
        <v>14000000</v>
      </c>
      <c r="E29" s="15">
        <v>14341.96</v>
      </c>
      <c r="F29" s="16">
        <v>1.4200000000000001E-2</v>
      </c>
      <c r="G29" s="75">
        <v>5.9549999999999999E-2</v>
      </c>
    </row>
    <row r="30" spans="1:7" x14ac:dyDescent="0.25">
      <c r="A30" s="74" t="s">
        <v>1672</v>
      </c>
      <c r="B30" s="31" t="s">
        <v>167</v>
      </c>
      <c r="C30" s="31" t="s">
        <v>121</v>
      </c>
      <c r="D30" s="14">
        <v>12500000</v>
      </c>
      <c r="E30" s="15">
        <v>12998.23</v>
      </c>
      <c r="F30" s="16">
        <v>1.29E-2</v>
      </c>
      <c r="G30" s="75">
        <v>5.7200000000000001E-2</v>
      </c>
    </row>
    <row r="31" spans="1:7" x14ac:dyDescent="0.25">
      <c r="A31" s="74" t="s">
        <v>1673</v>
      </c>
      <c r="B31" s="31" t="s">
        <v>168</v>
      </c>
      <c r="C31" s="31" t="s">
        <v>121</v>
      </c>
      <c r="D31" s="14">
        <v>10000000</v>
      </c>
      <c r="E31" s="15">
        <v>10916.38</v>
      </c>
      <c r="F31" s="16">
        <v>1.0800000000000001E-2</v>
      </c>
      <c r="G31" s="75">
        <v>5.6884999999999998E-2</v>
      </c>
    </row>
    <row r="32" spans="1:7" x14ac:dyDescent="0.25">
      <c r="A32" s="74" t="s">
        <v>1674</v>
      </c>
      <c r="B32" s="31" t="s">
        <v>169</v>
      </c>
      <c r="C32" s="31" t="s">
        <v>121</v>
      </c>
      <c r="D32" s="14">
        <v>9500000</v>
      </c>
      <c r="E32" s="15">
        <v>10184.23</v>
      </c>
      <c r="F32" s="16">
        <v>1.01E-2</v>
      </c>
      <c r="G32" s="75">
        <v>5.7200000000000001E-2</v>
      </c>
    </row>
    <row r="33" spans="1:7" x14ac:dyDescent="0.25">
      <c r="A33" s="74" t="s">
        <v>1675</v>
      </c>
      <c r="B33" s="31" t="s">
        <v>170</v>
      </c>
      <c r="C33" s="31" t="s">
        <v>121</v>
      </c>
      <c r="D33" s="14">
        <v>9000000</v>
      </c>
      <c r="E33" s="15">
        <v>9198.2900000000009</v>
      </c>
      <c r="F33" s="16">
        <v>9.1000000000000004E-3</v>
      </c>
      <c r="G33" s="75">
        <v>5.5500000000000001E-2</v>
      </c>
    </row>
    <row r="34" spans="1:7" x14ac:dyDescent="0.25">
      <c r="A34" s="74" t="s">
        <v>1676</v>
      </c>
      <c r="B34" s="31" t="s">
        <v>171</v>
      </c>
      <c r="C34" s="31" t="s">
        <v>121</v>
      </c>
      <c r="D34" s="14">
        <v>8500000</v>
      </c>
      <c r="E34" s="15">
        <v>9096.81</v>
      </c>
      <c r="F34" s="16">
        <v>8.9999999999999993E-3</v>
      </c>
      <c r="G34" s="75">
        <v>5.7209000000000003E-2</v>
      </c>
    </row>
    <row r="35" spans="1:7" x14ac:dyDescent="0.25">
      <c r="A35" s="74" t="s">
        <v>1699</v>
      </c>
      <c r="B35" s="31" t="s">
        <v>172</v>
      </c>
      <c r="C35" s="31" t="s">
        <v>118</v>
      </c>
      <c r="D35" s="14">
        <v>7500000</v>
      </c>
      <c r="E35" s="15">
        <v>7524.23</v>
      </c>
      <c r="F35" s="16">
        <v>7.4999999999999997E-3</v>
      </c>
      <c r="G35" s="75">
        <v>5.8250000000000003E-2</v>
      </c>
    </row>
    <row r="36" spans="1:7" x14ac:dyDescent="0.25">
      <c r="A36" s="74" t="s">
        <v>1677</v>
      </c>
      <c r="B36" s="31" t="s">
        <v>173</v>
      </c>
      <c r="C36" s="31" t="s">
        <v>121</v>
      </c>
      <c r="D36" s="14">
        <v>6500000</v>
      </c>
      <c r="E36" s="15">
        <v>6778.06</v>
      </c>
      <c r="F36" s="16">
        <v>6.7000000000000002E-3</v>
      </c>
      <c r="G36" s="75">
        <v>5.5199999999999999E-2</v>
      </c>
    </row>
    <row r="37" spans="1:7" x14ac:dyDescent="0.25">
      <c r="A37" s="74" t="s">
        <v>1678</v>
      </c>
      <c r="B37" s="31" t="s">
        <v>174</v>
      </c>
      <c r="C37" s="31" t="s">
        <v>121</v>
      </c>
      <c r="D37" s="14">
        <v>6500000</v>
      </c>
      <c r="E37" s="15">
        <v>6684.35</v>
      </c>
      <c r="F37" s="16">
        <v>6.6E-3</v>
      </c>
      <c r="G37" s="75">
        <v>5.8025E-2</v>
      </c>
    </row>
    <row r="38" spans="1:7" x14ac:dyDescent="0.25">
      <c r="A38" s="74" t="s">
        <v>1679</v>
      </c>
      <c r="B38" s="31" t="s">
        <v>175</v>
      </c>
      <c r="C38" s="31" t="s">
        <v>121</v>
      </c>
      <c r="D38" s="14">
        <v>6000000</v>
      </c>
      <c r="E38" s="15">
        <v>6355.61</v>
      </c>
      <c r="F38" s="16">
        <v>6.3E-3</v>
      </c>
      <c r="G38" s="75">
        <v>5.9549999999999999E-2</v>
      </c>
    </row>
    <row r="39" spans="1:7" x14ac:dyDescent="0.25">
      <c r="A39" s="74" t="s">
        <v>1680</v>
      </c>
      <c r="B39" s="31" t="s">
        <v>176</v>
      </c>
      <c r="C39" s="31" t="s">
        <v>121</v>
      </c>
      <c r="D39" s="14">
        <v>5500000</v>
      </c>
      <c r="E39" s="15">
        <v>5936.23</v>
      </c>
      <c r="F39" s="16">
        <v>5.8999999999999999E-3</v>
      </c>
      <c r="G39" s="75">
        <v>5.6800000000000003E-2</v>
      </c>
    </row>
    <row r="40" spans="1:7" x14ac:dyDescent="0.25">
      <c r="A40" s="74" t="s">
        <v>1681</v>
      </c>
      <c r="B40" s="31" t="s">
        <v>177</v>
      </c>
      <c r="C40" s="31" t="s">
        <v>121</v>
      </c>
      <c r="D40" s="14">
        <v>5500000</v>
      </c>
      <c r="E40" s="15">
        <v>5816.58</v>
      </c>
      <c r="F40" s="16">
        <v>5.7999999999999996E-3</v>
      </c>
      <c r="G40" s="75">
        <v>5.9346000000000003E-2</v>
      </c>
    </row>
    <row r="41" spans="1:7" x14ac:dyDescent="0.25">
      <c r="A41" s="74" t="s">
        <v>1682</v>
      </c>
      <c r="B41" s="31" t="s">
        <v>178</v>
      </c>
      <c r="C41" s="31" t="s">
        <v>121</v>
      </c>
      <c r="D41" s="14">
        <v>3500000</v>
      </c>
      <c r="E41" s="15">
        <v>3732.97</v>
      </c>
      <c r="F41" s="16">
        <v>3.7000000000000002E-3</v>
      </c>
      <c r="G41" s="75">
        <v>5.7200000000000001E-2</v>
      </c>
    </row>
    <row r="42" spans="1:7" x14ac:dyDescent="0.25">
      <c r="A42" s="74" t="s">
        <v>1683</v>
      </c>
      <c r="B42" s="31" t="s">
        <v>179</v>
      </c>
      <c r="C42" s="31" t="s">
        <v>121</v>
      </c>
      <c r="D42" s="14">
        <v>3500000</v>
      </c>
      <c r="E42" s="15">
        <v>3719.61</v>
      </c>
      <c r="F42" s="16">
        <v>3.7000000000000002E-3</v>
      </c>
      <c r="G42" s="75">
        <v>5.7096000000000001E-2</v>
      </c>
    </row>
    <row r="43" spans="1:7" x14ac:dyDescent="0.25">
      <c r="A43" s="74" t="s">
        <v>1684</v>
      </c>
      <c r="B43" s="31" t="s">
        <v>180</v>
      </c>
      <c r="C43" s="31" t="s">
        <v>121</v>
      </c>
      <c r="D43" s="14">
        <v>3500000</v>
      </c>
      <c r="E43" s="15">
        <v>3513.65</v>
      </c>
      <c r="F43" s="16">
        <v>3.5000000000000001E-3</v>
      </c>
      <c r="G43" s="75">
        <v>5.5300000000000002E-2</v>
      </c>
    </row>
    <row r="44" spans="1:7" x14ac:dyDescent="0.25">
      <c r="A44" s="74" t="s">
        <v>1685</v>
      </c>
      <c r="B44" s="31" t="s">
        <v>181</v>
      </c>
      <c r="C44" s="31" t="s">
        <v>121</v>
      </c>
      <c r="D44" s="14">
        <v>2500000</v>
      </c>
      <c r="E44" s="15">
        <v>2654.68</v>
      </c>
      <c r="F44" s="16">
        <v>2.5999999999999999E-3</v>
      </c>
      <c r="G44" s="75">
        <v>6.0003000000000001E-2</v>
      </c>
    </row>
    <row r="45" spans="1:7" x14ac:dyDescent="0.25">
      <c r="A45" s="74" t="s">
        <v>1700</v>
      </c>
      <c r="B45" s="31" t="s">
        <v>182</v>
      </c>
      <c r="C45" s="31" t="s">
        <v>118</v>
      </c>
      <c r="D45" s="14">
        <v>2500000</v>
      </c>
      <c r="E45" s="15">
        <v>2490.69</v>
      </c>
      <c r="F45" s="16">
        <v>2.5000000000000001E-3</v>
      </c>
      <c r="G45" s="75">
        <v>5.7075000000000001E-2</v>
      </c>
    </row>
    <row r="46" spans="1:7" x14ac:dyDescent="0.25">
      <c r="A46" s="74" t="s">
        <v>1686</v>
      </c>
      <c r="B46" s="31" t="s">
        <v>183</v>
      </c>
      <c r="C46" s="31" t="s">
        <v>121</v>
      </c>
      <c r="D46" s="14">
        <v>1998000</v>
      </c>
      <c r="E46" s="15">
        <v>2087.6799999999998</v>
      </c>
      <c r="F46" s="16">
        <v>2.0999999999999999E-3</v>
      </c>
      <c r="G46" s="75">
        <v>5.5449999999999999E-2</v>
      </c>
    </row>
    <row r="47" spans="1:7" x14ac:dyDescent="0.25">
      <c r="A47" s="74" t="s">
        <v>1687</v>
      </c>
      <c r="B47" s="31" t="s">
        <v>184</v>
      </c>
      <c r="C47" s="31" t="s">
        <v>121</v>
      </c>
      <c r="D47" s="14">
        <v>1650000</v>
      </c>
      <c r="E47" s="15">
        <v>1783.36</v>
      </c>
      <c r="F47" s="16">
        <v>1.8E-3</v>
      </c>
      <c r="G47" s="75">
        <v>5.9249999999999997E-2</v>
      </c>
    </row>
    <row r="48" spans="1:7" x14ac:dyDescent="0.25">
      <c r="A48" s="74" t="s">
        <v>1688</v>
      </c>
      <c r="B48" s="31" t="s">
        <v>185</v>
      </c>
      <c r="C48" s="31" t="s">
        <v>121</v>
      </c>
      <c r="D48" s="14">
        <v>1500000</v>
      </c>
      <c r="E48" s="15">
        <v>1625.4</v>
      </c>
      <c r="F48" s="16">
        <v>1.6000000000000001E-3</v>
      </c>
      <c r="G48" s="75">
        <v>5.7044999999999998E-2</v>
      </c>
    </row>
    <row r="49" spans="1:7" x14ac:dyDescent="0.25">
      <c r="A49" s="74" t="s">
        <v>1689</v>
      </c>
      <c r="B49" s="31" t="s">
        <v>186</v>
      </c>
      <c r="C49" s="31" t="s">
        <v>121</v>
      </c>
      <c r="D49" s="14">
        <v>1500000</v>
      </c>
      <c r="E49" s="15">
        <v>1591.86</v>
      </c>
      <c r="F49" s="16">
        <v>1.6000000000000001E-3</v>
      </c>
      <c r="G49" s="75">
        <v>5.7049999999999997E-2</v>
      </c>
    </row>
    <row r="50" spans="1:7" x14ac:dyDescent="0.25">
      <c r="A50" s="74" t="s">
        <v>1690</v>
      </c>
      <c r="B50" s="31" t="s">
        <v>187</v>
      </c>
      <c r="C50" s="31" t="s">
        <v>121</v>
      </c>
      <c r="D50" s="14">
        <v>1470000</v>
      </c>
      <c r="E50" s="15">
        <v>1575.28</v>
      </c>
      <c r="F50" s="16">
        <v>1.6000000000000001E-3</v>
      </c>
      <c r="G50" s="75">
        <v>5.9249999999999997E-2</v>
      </c>
    </row>
    <row r="51" spans="1:7" x14ac:dyDescent="0.25">
      <c r="A51" s="74" t="s">
        <v>1691</v>
      </c>
      <c r="B51" s="31" t="s">
        <v>188</v>
      </c>
      <c r="C51" s="31" t="s">
        <v>121</v>
      </c>
      <c r="D51" s="14">
        <v>1000000</v>
      </c>
      <c r="E51" s="15">
        <v>1077.92</v>
      </c>
      <c r="F51" s="16">
        <v>1.1000000000000001E-3</v>
      </c>
      <c r="G51" s="75">
        <v>5.5449999999999999E-2</v>
      </c>
    </row>
    <row r="52" spans="1:7" x14ac:dyDescent="0.25">
      <c r="A52" s="74" t="s">
        <v>1692</v>
      </c>
      <c r="B52" s="31" t="s">
        <v>189</v>
      </c>
      <c r="C52" s="31" t="s">
        <v>121</v>
      </c>
      <c r="D52" s="14">
        <v>1000000</v>
      </c>
      <c r="E52" s="15">
        <v>1029.99</v>
      </c>
      <c r="F52" s="16">
        <v>1E-3</v>
      </c>
      <c r="G52" s="75">
        <v>5.6800000000000003E-2</v>
      </c>
    </row>
    <row r="53" spans="1:7" x14ac:dyDescent="0.25">
      <c r="A53" s="74" t="s">
        <v>1693</v>
      </c>
      <c r="B53" s="31" t="s">
        <v>190</v>
      </c>
      <c r="C53" s="31" t="s">
        <v>121</v>
      </c>
      <c r="D53" s="14">
        <v>500000</v>
      </c>
      <c r="E53" s="15">
        <v>543.48</v>
      </c>
      <c r="F53" s="16">
        <v>5.0000000000000001E-4</v>
      </c>
      <c r="G53" s="75">
        <v>5.7783000000000001E-2</v>
      </c>
    </row>
    <row r="54" spans="1:7" x14ac:dyDescent="0.25">
      <c r="A54" s="74" t="s">
        <v>1701</v>
      </c>
      <c r="B54" s="31" t="s">
        <v>191</v>
      </c>
      <c r="C54" s="31" t="s">
        <v>121</v>
      </c>
      <c r="D54" s="14">
        <v>500000</v>
      </c>
      <c r="E54" s="15">
        <v>541.5</v>
      </c>
      <c r="F54" s="16">
        <v>5.0000000000000001E-4</v>
      </c>
      <c r="G54" s="75">
        <v>5.7149999999999999E-2</v>
      </c>
    </row>
    <row r="55" spans="1:7" x14ac:dyDescent="0.25">
      <c r="A55" s="74" t="s">
        <v>1694</v>
      </c>
      <c r="B55" s="31" t="s">
        <v>192</v>
      </c>
      <c r="C55" s="31" t="s">
        <v>121</v>
      </c>
      <c r="D55" s="14">
        <v>500000</v>
      </c>
      <c r="E55" s="15">
        <v>541.39</v>
      </c>
      <c r="F55" s="16">
        <v>5.0000000000000001E-4</v>
      </c>
      <c r="G55" s="75">
        <v>5.475E-2</v>
      </c>
    </row>
    <row r="56" spans="1:7" x14ac:dyDescent="0.25">
      <c r="A56" s="74" t="s">
        <v>1695</v>
      </c>
      <c r="B56" s="31" t="s">
        <v>193</v>
      </c>
      <c r="C56" s="31" t="s">
        <v>121</v>
      </c>
      <c r="D56" s="14">
        <v>500000</v>
      </c>
      <c r="E56" s="15">
        <v>532.05999999999995</v>
      </c>
      <c r="F56" s="16">
        <v>5.0000000000000001E-4</v>
      </c>
      <c r="G56" s="75">
        <v>5.7099999999999998E-2</v>
      </c>
    </row>
    <row r="57" spans="1:7" x14ac:dyDescent="0.25">
      <c r="A57" s="74" t="s">
        <v>1696</v>
      </c>
      <c r="B57" s="31" t="s">
        <v>194</v>
      </c>
      <c r="C57" s="31" t="s">
        <v>121</v>
      </c>
      <c r="D57" s="14">
        <v>500000</v>
      </c>
      <c r="E57" s="15">
        <v>525.62</v>
      </c>
      <c r="F57" s="16">
        <v>5.0000000000000001E-4</v>
      </c>
      <c r="G57" s="75">
        <v>5.5199999999999999E-2</v>
      </c>
    </row>
    <row r="58" spans="1:7" x14ac:dyDescent="0.25">
      <c r="A58" s="76" t="s">
        <v>90</v>
      </c>
      <c r="B58" s="32"/>
      <c r="C58" s="32"/>
      <c r="D58" s="18"/>
      <c r="E58" s="35">
        <v>967662.47</v>
      </c>
      <c r="F58" s="36">
        <v>0.95979999999999999</v>
      </c>
      <c r="G58" s="77"/>
    </row>
    <row r="59" spans="1:7" x14ac:dyDescent="0.25">
      <c r="A59" s="74"/>
      <c r="B59" s="31"/>
      <c r="C59" s="31"/>
      <c r="D59" s="14"/>
      <c r="E59" s="15"/>
      <c r="F59" s="16"/>
      <c r="G59" s="75"/>
    </row>
    <row r="60" spans="1:7" x14ac:dyDescent="0.25">
      <c r="A60" s="76" t="s">
        <v>195</v>
      </c>
      <c r="B60" s="31"/>
      <c r="C60" s="31"/>
      <c r="D60" s="14"/>
      <c r="E60" s="15"/>
      <c r="F60" s="16"/>
      <c r="G60" s="75"/>
    </row>
    <row r="61" spans="1:7" x14ac:dyDescent="0.25">
      <c r="A61" s="74" t="s">
        <v>1702</v>
      </c>
      <c r="B61" s="31" t="s">
        <v>196</v>
      </c>
      <c r="C61" s="31" t="s">
        <v>197</v>
      </c>
      <c r="D61" s="14">
        <v>4500000</v>
      </c>
      <c r="E61" s="15">
        <v>4585.74</v>
      </c>
      <c r="F61" s="16">
        <v>4.4999999999999997E-3</v>
      </c>
      <c r="G61" s="75">
        <v>5.3800000000000001E-2</v>
      </c>
    </row>
    <row r="62" spans="1:7" x14ac:dyDescent="0.25">
      <c r="A62" s="76" t="s">
        <v>90</v>
      </c>
      <c r="B62" s="32"/>
      <c r="C62" s="32"/>
      <c r="D62" s="18"/>
      <c r="E62" s="35">
        <v>4585.74</v>
      </c>
      <c r="F62" s="36">
        <v>4.4999999999999997E-3</v>
      </c>
      <c r="G62" s="77"/>
    </row>
    <row r="63" spans="1:7" x14ac:dyDescent="0.25">
      <c r="A63" s="74"/>
      <c r="B63" s="31"/>
      <c r="C63" s="31"/>
      <c r="D63" s="14"/>
      <c r="E63" s="15"/>
      <c r="F63" s="16"/>
      <c r="G63" s="75"/>
    </row>
    <row r="64" spans="1:7" x14ac:dyDescent="0.25">
      <c r="A64" s="76" t="s">
        <v>91</v>
      </c>
      <c r="B64" s="31"/>
      <c r="C64" s="31"/>
      <c r="D64" s="14"/>
      <c r="E64" s="15"/>
      <c r="F64" s="16"/>
      <c r="G64" s="75"/>
    </row>
    <row r="65" spans="1:7" x14ac:dyDescent="0.25">
      <c r="A65" s="76" t="s">
        <v>90</v>
      </c>
      <c r="B65" s="31"/>
      <c r="C65" s="31"/>
      <c r="D65" s="14"/>
      <c r="E65" s="37" t="s">
        <v>85</v>
      </c>
      <c r="F65" s="38" t="s">
        <v>85</v>
      </c>
      <c r="G65" s="75"/>
    </row>
    <row r="66" spans="1:7" x14ac:dyDescent="0.25">
      <c r="A66" s="74"/>
      <c r="B66" s="31"/>
      <c r="C66" s="31"/>
      <c r="D66" s="14"/>
      <c r="E66" s="15"/>
      <c r="F66" s="16"/>
      <c r="G66" s="75"/>
    </row>
    <row r="67" spans="1:7" x14ac:dyDescent="0.25">
      <c r="A67" s="76" t="s">
        <v>92</v>
      </c>
      <c r="B67" s="31"/>
      <c r="C67" s="31"/>
      <c r="D67" s="14"/>
      <c r="E67" s="15"/>
      <c r="F67" s="16"/>
      <c r="G67" s="75"/>
    </row>
    <row r="68" spans="1:7" x14ac:dyDescent="0.25">
      <c r="A68" s="76" t="s">
        <v>90</v>
      </c>
      <c r="B68" s="31"/>
      <c r="C68" s="31"/>
      <c r="D68" s="14"/>
      <c r="E68" s="37" t="s">
        <v>85</v>
      </c>
      <c r="F68" s="38" t="s">
        <v>85</v>
      </c>
      <c r="G68" s="75"/>
    </row>
    <row r="69" spans="1:7" x14ac:dyDescent="0.25">
      <c r="A69" s="74"/>
      <c r="B69" s="31"/>
      <c r="C69" s="31"/>
      <c r="D69" s="14"/>
      <c r="E69" s="15"/>
      <c r="F69" s="16"/>
      <c r="G69" s="75"/>
    </row>
    <row r="70" spans="1:7" x14ac:dyDescent="0.25">
      <c r="A70" s="78" t="s">
        <v>93</v>
      </c>
      <c r="B70" s="79"/>
      <c r="C70" s="79"/>
      <c r="D70" s="80"/>
      <c r="E70" s="35">
        <v>972248.21</v>
      </c>
      <c r="F70" s="36">
        <v>0.96430000000000005</v>
      </c>
      <c r="G70" s="77"/>
    </row>
    <row r="71" spans="1:7" x14ac:dyDescent="0.25">
      <c r="A71" s="74"/>
      <c r="B71" s="31"/>
      <c r="C71" s="31"/>
      <c r="D71" s="14"/>
      <c r="E71" s="15"/>
      <c r="F71" s="16"/>
      <c r="G71" s="75"/>
    </row>
    <row r="72" spans="1:7" x14ac:dyDescent="0.25">
      <c r="A72" s="74"/>
      <c r="B72" s="31"/>
      <c r="C72" s="31"/>
      <c r="D72" s="14"/>
      <c r="E72" s="15"/>
      <c r="F72" s="16"/>
      <c r="G72" s="75"/>
    </row>
    <row r="73" spans="1:7" x14ac:dyDescent="0.25">
      <c r="A73" s="76" t="s">
        <v>110</v>
      </c>
      <c r="B73" s="31"/>
      <c r="C73" s="31"/>
      <c r="D73" s="14"/>
      <c r="E73" s="15"/>
      <c r="F73" s="16"/>
      <c r="G73" s="75"/>
    </row>
    <row r="74" spans="1:7" x14ac:dyDescent="0.25">
      <c r="A74" s="74" t="s">
        <v>111</v>
      </c>
      <c r="B74" s="31"/>
      <c r="C74" s="31"/>
      <c r="D74" s="14"/>
      <c r="E74" s="15">
        <v>12474.11</v>
      </c>
      <c r="F74" s="16">
        <v>1.24E-2</v>
      </c>
      <c r="G74" s="75">
        <v>3.5790000000000002E-2</v>
      </c>
    </row>
    <row r="75" spans="1:7" x14ac:dyDescent="0.25">
      <c r="A75" s="76" t="s">
        <v>90</v>
      </c>
      <c r="B75" s="32"/>
      <c r="C75" s="32"/>
      <c r="D75" s="18"/>
      <c r="E75" s="35">
        <v>12474.11</v>
      </c>
      <c r="F75" s="36">
        <v>1.24E-2</v>
      </c>
      <c r="G75" s="77"/>
    </row>
    <row r="76" spans="1:7" x14ac:dyDescent="0.25">
      <c r="A76" s="74"/>
      <c r="B76" s="31"/>
      <c r="C76" s="31"/>
      <c r="D76" s="14"/>
      <c r="E76" s="15"/>
      <c r="F76" s="16"/>
      <c r="G76" s="75"/>
    </row>
    <row r="77" spans="1:7" x14ac:dyDescent="0.25">
      <c r="A77" s="78" t="s">
        <v>93</v>
      </c>
      <c r="B77" s="79"/>
      <c r="C77" s="79"/>
      <c r="D77" s="80"/>
      <c r="E77" s="35">
        <v>12474.11</v>
      </c>
      <c r="F77" s="36">
        <v>1.24E-2</v>
      </c>
      <c r="G77" s="77"/>
    </row>
    <row r="78" spans="1:7" x14ac:dyDescent="0.25">
      <c r="A78" s="74" t="s">
        <v>112</v>
      </c>
      <c r="B78" s="31"/>
      <c r="C78" s="31"/>
      <c r="D78" s="14"/>
      <c r="E78" s="15">
        <v>27805.415520400002</v>
      </c>
      <c r="F78" s="16">
        <v>2.7587E-2</v>
      </c>
      <c r="G78" s="75"/>
    </row>
    <row r="79" spans="1:7" x14ac:dyDescent="0.25">
      <c r="A79" s="74" t="s">
        <v>113</v>
      </c>
      <c r="B79" s="31"/>
      <c r="C79" s="31"/>
      <c r="D79" s="14"/>
      <c r="E79" s="24">
        <v>-4637.8255203999997</v>
      </c>
      <c r="F79" s="25">
        <v>-4.287E-3</v>
      </c>
      <c r="G79" s="75">
        <v>3.5790000000000002E-2</v>
      </c>
    </row>
    <row r="80" spans="1:7" x14ac:dyDescent="0.25">
      <c r="A80" s="81" t="s">
        <v>114</v>
      </c>
      <c r="B80" s="34"/>
      <c r="C80" s="34"/>
      <c r="D80" s="27"/>
      <c r="E80" s="28">
        <v>1007889.91</v>
      </c>
      <c r="F80" s="29">
        <v>1</v>
      </c>
      <c r="G80" s="82"/>
    </row>
    <row r="81" spans="1:7" x14ac:dyDescent="0.25">
      <c r="A81" s="54"/>
      <c r="B81" s="56"/>
      <c r="C81" s="56"/>
      <c r="D81" s="56"/>
      <c r="E81" s="56"/>
      <c r="F81" s="56"/>
      <c r="G81" s="66"/>
    </row>
    <row r="82" spans="1:7" x14ac:dyDescent="0.25">
      <c r="A82" s="83" t="s">
        <v>116</v>
      </c>
      <c r="B82" s="56"/>
      <c r="C82" s="56"/>
      <c r="D82" s="56"/>
      <c r="E82" s="56"/>
      <c r="F82" s="56"/>
      <c r="G82" s="66"/>
    </row>
    <row r="83" spans="1:7" x14ac:dyDescent="0.25">
      <c r="A83" s="54"/>
      <c r="B83" s="56"/>
      <c r="C83" s="56"/>
      <c r="D83" s="56"/>
      <c r="E83" s="56"/>
      <c r="F83" s="56"/>
      <c r="G83" s="66"/>
    </row>
    <row r="84" spans="1:7" x14ac:dyDescent="0.25">
      <c r="A84" s="83" t="s">
        <v>1476</v>
      </c>
      <c r="B84" s="56"/>
      <c r="C84" s="56"/>
      <c r="D84" s="56"/>
      <c r="E84" s="56"/>
      <c r="F84" s="56"/>
      <c r="G84" s="66"/>
    </row>
    <row r="85" spans="1:7" x14ac:dyDescent="0.25">
      <c r="A85" s="84" t="s">
        <v>1477</v>
      </c>
      <c r="B85" s="85" t="s">
        <v>85</v>
      </c>
      <c r="C85" s="56"/>
      <c r="D85" s="56"/>
      <c r="E85" s="56"/>
      <c r="F85" s="56"/>
      <c r="G85" s="66"/>
    </row>
    <row r="86" spans="1:7" x14ac:dyDescent="0.25">
      <c r="A86" s="54" t="s">
        <v>1626</v>
      </c>
      <c r="B86" s="56"/>
      <c r="C86" s="56"/>
      <c r="D86" s="56"/>
      <c r="E86" s="56"/>
      <c r="F86" s="56"/>
      <c r="G86" s="66"/>
    </row>
    <row r="87" spans="1:7" x14ac:dyDescent="0.25">
      <c r="A87" s="54" t="s">
        <v>1496</v>
      </c>
      <c r="B87" s="85" t="s">
        <v>1479</v>
      </c>
      <c r="C87" s="85" t="s">
        <v>1479</v>
      </c>
      <c r="D87" s="56"/>
      <c r="E87" s="56"/>
      <c r="F87" s="56"/>
      <c r="G87" s="66"/>
    </row>
    <row r="88" spans="1:7" x14ac:dyDescent="0.25">
      <c r="A88" s="54"/>
      <c r="B88" s="86">
        <v>44469</v>
      </c>
      <c r="C88" s="86">
        <v>44651</v>
      </c>
      <c r="D88" s="56"/>
      <c r="E88" s="56"/>
      <c r="F88" s="56"/>
      <c r="G88" s="66"/>
    </row>
    <row r="89" spans="1:7" x14ac:dyDescent="0.25">
      <c r="A89" s="54" t="s">
        <v>1497</v>
      </c>
      <c r="B89" s="56">
        <v>1064.9637</v>
      </c>
      <c r="C89" s="56">
        <v>1084.1565000000001</v>
      </c>
      <c r="D89" s="56"/>
      <c r="E89" s="59"/>
      <c r="F89" s="56"/>
      <c r="G89" s="87"/>
    </row>
    <row r="90" spans="1:7" x14ac:dyDescent="0.25">
      <c r="A90" s="54"/>
      <c r="B90" s="56"/>
      <c r="C90" s="56"/>
      <c r="D90" s="56"/>
      <c r="E90" s="59"/>
      <c r="F90" s="56"/>
      <c r="G90" s="87"/>
    </row>
    <row r="91" spans="1:7" x14ac:dyDescent="0.25">
      <c r="A91" s="54" t="s">
        <v>2006</v>
      </c>
      <c r="B91" s="85" t="s">
        <v>85</v>
      </c>
      <c r="C91" s="56"/>
      <c r="D91" s="56"/>
      <c r="E91" s="56"/>
      <c r="F91" s="56"/>
      <c r="G91" s="66"/>
    </row>
    <row r="92" spans="1:7" x14ac:dyDescent="0.25">
      <c r="A92" s="54" t="s">
        <v>2008</v>
      </c>
      <c r="B92" s="85" t="s">
        <v>85</v>
      </c>
      <c r="C92" s="56"/>
      <c r="D92" s="56"/>
      <c r="E92" s="56"/>
      <c r="F92" s="56"/>
      <c r="G92" s="66"/>
    </row>
    <row r="93" spans="1:7" ht="18.75" customHeight="1" x14ac:dyDescent="0.25">
      <c r="A93" s="84" t="s">
        <v>2009</v>
      </c>
      <c r="B93" s="85" t="s">
        <v>85</v>
      </c>
      <c r="C93" s="56"/>
      <c r="D93" s="56"/>
      <c r="E93" s="56"/>
      <c r="F93" s="56"/>
      <c r="G93" s="66"/>
    </row>
    <row r="94" spans="1:7" x14ac:dyDescent="0.25">
      <c r="A94" s="84" t="s">
        <v>2010</v>
      </c>
      <c r="B94" s="85" t="s">
        <v>85</v>
      </c>
      <c r="C94" s="56"/>
      <c r="D94" s="56"/>
      <c r="E94" s="56"/>
      <c r="F94" s="56"/>
      <c r="G94" s="66"/>
    </row>
    <row r="95" spans="1:7" x14ac:dyDescent="0.25">
      <c r="A95" s="54" t="s">
        <v>1494</v>
      </c>
      <c r="B95" s="88">
        <v>2.8206560000000001</v>
      </c>
      <c r="C95" s="56"/>
      <c r="D95" s="56"/>
      <c r="E95" s="56"/>
      <c r="F95" s="56"/>
      <c r="G95" s="66"/>
    </row>
    <row r="96" spans="1:7" ht="30" x14ac:dyDescent="0.25">
      <c r="A96" s="84" t="s">
        <v>2011</v>
      </c>
      <c r="B96" s="85" t="s">
        <v>85</v>
      </c>
      <c r="C96" s="56"/>
      <c r="D96" s="56"/>
      <c r="E96" s="56"/>
      <c r="F96" s="56"/>
      <c r="G96" s="66"/>
    </row>
    <row r="97" spans="1:7" ht="30" x14ac:dyDescent="0.25">
      <c r="A97" s="84" t="s">
        <v>1495</v>
      </c>
      <c r="B97" s="85" t="s">
        <v>85</v>
      </c>
      <c r="C97" s="56"/>
      <c r="D97" s="56"/>
      <c r="E97" s="56"/>
      <c r="F97" s="56"/>
      <c r="G97" s="66"/>
    </row>
    <row r="98" spans="1:7" x14ac:dyDescent="0.25">
      <c r="A98" s="84" t="s">
        <v>1498</v>
      </c>
      <c r="B98" s="88">
        <v>394666.15</v>
      </c>
      <c r="C98" s="56"/>
      <c r="D98" s="56"/>
      <c r="E98" s="56"/>
      <c r="F98" s="56"/>
      <c r="G98" s="66"/>
    </row>
    <row r="99" spans="1:7" x14ac:dyDescent="0.25">
      <c r="A99" s="54" t="s">
        <v>1609</v>
      </c>
      <c r="B99" s="85" t="s">
        <v>85</v>
      </c>
      <c r="C99" s="56"/>
      <c r="D99" s="56"/>
      <c r="E99" s="56"/>
      <c r="F99" s="56"/>
      <c r="G99" s="66"/>
    </row>
    <row r="100" spans="1:7" x14ac:dyDescent="0.25">
      <c r="A100" s="54" t="s">
        <v>1610</v>
      </c>
      <c r="B100" s="85" t="s">
        <v>85</v>
      </c>
      <c r="C100" s="56"/>
      <c r="D100" s="56"/>
      <c r="E100" s="56"/>
      <c r="F100" s="56"/>
      <c r="G100" s="66"/>
    </row>
    <row r="101" spans="1:7" ht="15.75" thickBot="1" x14ac:dyDescent="0.3">
      <c r="A101" s="89"/>
      <c r="B101" s="90"/>
      <c r="C101" s="90"/>
      <c r="D101" s="90"/>
      <c r="E101" s="90"/>
      <c r="F101" s="90"/>
      <c r="G101" s="91"/>
    </row>
    <row r="104" spans="1:7" ht="30" x14ac:dyDescent="0.25">
      <c r="A104" s="107" t="s">
        <v>2042</v>
      </c>
      <c r="B104" s="108" t="s">
        <v>2043</v>
      </c>
      <c r="C104" s="108" t="s">
        <v>2044</v>
      </c>
      <c r="D104" s="109" t="s">
        <v>2045</v>
      </c>
    </row>
    <row r="105" spans="1:7" ht="48" customHeight="1" x14ac:dyDescent="0.25">
      <c r="A105" s="110" t="str">
        <f>HYPERLINK("[EDEL_Portfolio Monthly 28-Feb-2022.xlsx]EDBE25!A1","BHARAT Bond ETF - April 2025")</f>
        <v>BHARAT Bond ETF - April 2025</v>
      </c>
      <c r="B105" s="113"/>
      <c r="C105" s="112" t="s">
        <v>2048</v>
      </c>
      <c r="D105" s="113"/>
    </row>
  </sheetData>
  <mergeCells count="2">
    <mergeCell ref="A3:G3"/>
    <mergeCell ref="A4:G4"/>
  </mergeCells>
  <pageMargins left="0.7" right="0.7" top="0.75" bottom="0.75" header="0.3" footer="0.3"/>
  <pageSetup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5"/>
  <sheetViews>
    <sheetView showGridLines="0" workbookViewId="0">
      <pane ySplit="6" topLeftCell="A103" activePane="bottomLeft" state="frozen"/>
      <selection activeCell="J3" sqref="J3"/>
      <selection pane="bottomLeft" activeCell="J3" sqref="J3"/>
    </sheetView>
  </sheetViews>
  <sheetFormatPr defaultRowHeight="15" x14ac:dyDescent="0.25"/>
  <cols>
    <col min="1" max="1" width="78.7109375" bestFit="1"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13</v>
      </c>
      <c r="B3" s="139"/>
      <c r="C3" s="139"/>
      <c r="D3" s="139"/>
      <c r="E3" s="139"/>
      <c r="F3" s="139"/>
      <c r="G3" s="140"/>
      <c r="H3" s="46" t="str">
        <f>HYPERLINK("[EDEL_Portfolio HY 31032022.xlsx]Index!A1","Index")</f>
        <v>Index</v>
      </c>
    </row>
    <row r="4" spans="1:8" ht="19.5" customHeight="1" x14ac:dyDescent="0.25">
      <c r="A4" s="141" t="s">
        <v>14</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84</v>
      </c>
      <c r="B9" s="31"/>
      <c r="C9" s="31"/>
      <c r="D9" s="14"/>
      <c r="E9" s="52" t="s">
        <v>85</v>
      </c>
      <c r="F9" s="53" t="s">
        <v>85</v>
      </c>
      <c r="G9" s="75"/>
    </row>
    <row r="10" spans="1:8" x14ac:dyDescent="0.25">
      <c r="A10" s="74"/>
      <c r="B10" s="31"/>
      <c r="C10" s="31"/>
      <c r="D10" s="14"/>
      <c r="E10" s="15"/>
      <c r="F10" s="16"/>
      <c r="G10" s="75"/>
    </row>
    <row r="11" spans="1:8" x14ac:dyDescent="0.25">
      <c r="A11" s="76" t="s">
        <v>86</v>
      </c>
      <c r="B11" s="31"/>
      <c r="C11" s="31"/>
      <c r="D11" s="14"/>
      <c r="E11" s="15"/>
      <c r="F11" s="16"/>
      <c r="G11" s="75"/>
    </row>
    <row r="12" spans="1:8" x14ac:dyDescent="0.25">
      <c r="A12" s="76" t="s">
        <v>87</v>
      </c>
      <c r="B12" s="31"/>
      <c r="C12" s="31"/>
      <c r="D12" s="14"/>
      <c r="E12" s="15"/>
      <c r="F12" s="16"/>
      <c r="G12" s="75"/>
    </row>
    <row r="13" spans="1:8" x14ac:dyDescent="0.25">
      <c r="A13" s="74" t="s">
        <v>1703</v>
      </c>
      <c r="B13" s="31" t="s">
        <v>198</v>
      </c>
      <c r="C13" s="31" t="s">
        <v>121</v>
      </c>
      <c r="D13" s="14">
        <v>95000000</v>
      </c>
      <c r="E13" s="15">
        <v>95253.37</v>
      </c>
      <c r="F13" s="16">
        <v>7.17E-2</v>
      </c>
      <c r="G13" s="75">
        <v>6.9849999999999995E-2</v>
      </c>
    </row>
    <row r="14" spans="1:8" x14ac:dyDescent="0.25">
      <c r="A14" s="74" t="s">
        <v>1704</v>
      </c>
      <c r="B14" s="31" t="s">
        <v>199</v>
      </c>
      <c r="C14" s="31" t="s">
        <v>121</v>
      </c>
      <c r="D14" s="14">
        <v>89500000</v>
      </c>
      <c r="E14" s="15">
        <v>91477.41</v>
      </c>
      <c r="F14" s="16">
        <v>6.8900000000000003E-2</v>
      </c>
      <c r="G14" s="75">
        <v>7.0324999999999999E-2</v>
      </c>
    </row>
    <row r="15" spans="1:8" x14ac:dyDescent="0.25">
      <c r="A15" s="74" t="s">
        <v>1705</v>
      </c>
      <c r="B15" s="31" t="s">
        <v>200</v>
      </c>
      <c r="C15" s="31" t="s">
        <v>121</v>
      </c>
      <c r="D15" s="14">
        <v>81000000</v>
      </c>
      <c r="E15" s="15">
        <v>85044.49</v>
      </c>
      <c r="F15" s="16">
        <v>6.4000000000000001E-2</v>
      </c>
      <c r="G15" s="75">
        <v>7.0516999999999996E-2</v>
      </c>
    </row>
    <row r="16" spans="1:8" x14ac:dyDescent="0.25">
      <c r="A16" s="74" t="s">
        <v>1706</v>
      </c>
      <c r="B16" s="31" t="s">
        <v>201</v>
      </c>
      <c r="C16" s="31" t="s">
        <v>118</v>
      </c>
      <c r="D16" s="14">
        <v>83000000</v>
      </c>
      <c r="E16" s="15">
        <v>84747.9</v>
      </c>
      <c r="F16" s="16">
        <v>6.3799999999999996E-2</v>
      </c>
      <c r="G16" s="75">
        <v>6.9750000000000006E-2</v>
      </c>
    </row>
    <row r="17" spans="1:7" x14ac:dyDescent="0.25">
      <c r="A17" s="74" t="s">
        <v>1707</v>
      </c>
      <c r="B17" s="31" t="s">
        <v>202</v>
      </c>
      <c r="C17" s="31" t="s">
        <v>121</v>
      </c>
      <c r="D17" s="14">
        <v>79000000</v>
      </c>
      <c r="E17" s="15">
        <v>81606.759999999995</v>
      </c>
      <c r="F17" s="16">
        <v>6.1499999999999999E-2</v>
      </c>
      <c r="G17" s="75">
        <v>6.9946999999999995E-2</v>
      </c>
    </row>
    <row r="18" spans="1:7" x14ac:dyDescent="0.25">
      <c r="A18" s="74" t="s">
        <v>1708</v>
      </c>
      <c r="B18" s="31" t="s">
        <v>203</v>
      </c>
      <c r="C18" s="31" t="s">
        <v>121</v>
      </c>
      <c r="D18" s="14">
        <v>74000000</v>
      </c>
      <c r="E18" s="15">
        <v>77650.490000000005</v>
      </c>
      <c r="F18" s="16">
        <v>5.8500000000000003E-2</v>
      </c>
      <c r="G18" s="75">
        <v>7.0324999999999999E-2</v>
      </c>
    </row>
    <row r="19" spans="1:7" x14ac:dyDescent="0.25">
      <c r="A19" s="74" t="s">
        <v>1709</v>
      </c>
      <c r="B19" s="31" t="s">
        <v>204</v>
      </c>
      <c r="C19" s="31" t="s">
        <v>121</v>
      </c>
      <c r="D19" s="14">
        <v>73000000</v>
      </c>
      <c r="E19" s="15">
        <v>75462.73</v>
      </c>
      <c r="F19" s="16">
        <v>5.6800000000000003E-2</v>
      </c>
      <c r="G19" s="75">
        <v>6.9599999999999995E-2</v>
      </c>
    </row>
    <row r="20" spans="1:7" x14ac:dyDescent="0.25">
      <c r="A20" s="74" t="s">
        <v>1710</v>
      </c>
      <c r="B20" s="31" t="s">
        <v>205</v>
      </c>
      <c r="C20" s="31" t="s">
        <v>121</v>
      </c>
      <c r="D20" s="14">
        <v>61500000</v>
      </c>
      <c r="E20" s="15">
        <v>62147.47</v>
      </c>
      <c r="F20" s="16">
        <v>4.6800000000000001E-2</v>
      </c>
      <c r="G20" s="75">
        <v>7.22E-2</v>
      </c>
    </row>
    <row r="21" spans="1:7" x14ac:dyDescent="0.25">
      <c r="A21" s="74" t="s">
        <v>1711</v>
      </c>
      <c r="B21" s="31" t="s">
        <v>206</v>
      </c>
      <c r="C21" s="31" t="s">
        <v>146</v>
      </c>
      <c r="D21" s="14">
        <v>48000000</v>
      </c>
      <c r="E21" s="15">
        <v>49580.69</v>
      </c>
      <c r="F21" s="16">
        <v>3.73E-2</v>
      </c>
      <c r="G21" s="75">
        <v>6.8274000000000001E-2</v>
      </c>
    </row>
    <row r="22" spans="1:7" x14ac:dyDescent="0.25">
      <c r="A22" s="74" t="s">
        <v>1712</v>
      </c>
      <c r="B22" s="31" t="s">
        <v>207</v>
      </c>
      <c r="C22" s="31" t="s">
        <v>121</v>
      </c>
      <c r="D22" s="14">
        <v>42500000</v>
      </c>
      <c r="E22" s="15">
        <v>44403.49</v>
      </c>
      <c r="F22" s="16">
        <v>3.3399999999999999E-2</v>
      </c>
      <c r="G22" s="75">
        <v>6.9000000000000006E-2</v>
      </c>
    </row>
    <row r="23" spans="1:7" x14ac:dyDescent="0.25">
      <c r="A23" s="74" t="s">
        <v>1713</v>
      </c>
      <c r="B23" s="31" t="s">
        <v>208</v>
      </c>
      <c r="C23" s="31" t="s">
        <v>121</v>
      </c>
      <c r="D23" s="14">
        <v>41200000</v>
      </c>
      <c r="E23" s="15">
        <v>42283.4</v>
      </c>
      <c r="F23" s="16">
        <v>3.1800000000000002E-2</v>
      </c>
      <c r="G23" s="75">
        <v>7.0515999999999995E-2</v>
      </c>
    </row>
    <row r="24" spans="1:7" x14ac:dyDescent="0.25">
      <c r="A24" s="74" t="s">
        <v>1714</v>
      </c>
      <c r="B24" s="31" t="s">
        <v>209</v>
      </c>
      <c r="C24" s="31" t="s">
        <v>121</v>
      </c>
      <c r="D24" s="14">
        <v>38500000</v>
      </c>
      <c r="E24" s="15">
        <v>39674.33</v>
      </c>
      <c r="F24" s="16">
        <v>2.9899999999999999E-2</v>
      </c>
      <c r="G24" s="75">
        <v>7.22E-2</v>
      </c>
    </row>
    <row r="25" spans="1:7" x14ac:dyDescent="0.25">
      <c r="A25" s="74" t="s">
        <v>1715</v>
      </c>
      <c r="B25" s="31" t="s">
        <v>210</v>
      </c>
      <c r="C25" s="31" t="s">
        <v>121</v>
      </c>
      <c r="D25" s="14">
        <v>37500000</v>
      </c>
      <c r="E25" s="15">
        <v>38461.69</v>
      </c>
      <c r="F25" s="16">
        <v>2.9000000000000001E-2</v>
      </c>
      <c r="G25" s="75">
        <v>6.9499000000000005E-2</v>
      </c>
    </row>
    <row r="26" spans="1:7" x14ac:dyDescent="0.25">
      <c r="A26" s="74" t="s">
        <v>1716</v>
      </c>
      <c r="B26" s="31" t="s">
        <v>211</v>
      </c>
      <c r="C26" s="31" t="s">
        <v>121</v>
      </c>
      <c r="D26" s="14">
        <v>35700000</v>
      </c>
      <c r="E26" s="15">
        <v>36861.39</v>
      </c>
      <c r="F26" s="16">
        <v>2.7799999999999998E-2</v>
      </c>
      <c r="G26" s="75">
        <v>6.9000000000000006E-2</v>
      </c>
    </row>
    <row r="27" spans="1:7" x14ac:dyDescent="0.25">
      <c r="A27" s="74" t="s">
        <v>1717</v>
      </c>
      <c r="B27" s="31" t="s">
        <v>212</v>
      </c>
      <c r="C27" s="31" t="s">
        <v>121</v>
      </c>
      <c r="D27" s="14">
        <v>35500000</v>
      </c>
      <c r="E27" s="15">
        <v>35669.9</v>
      </c>
      <c r="F27" s="16">
        <v>2.69E-2</v>
      </c>
      <c r="G27" s="75">
        <v>6.9946999999999995E-2</v>
      </c>
    </row>
    <row r="28" spans="1:7" x14ac:dyDescent="0.25">
      <c r="A28" s="74" t="s">
        <v>1718</v>
      </c>
      <c r="B28" s="31" t="s">
        <v>213</v>
      </c>
      <c r="C28" s="31" t="s">
        <v>121</v>
      </c>
      <c r="D28" s="14">
        <v>29000000</v>
      </c>
      <c r="E28" s="15">
        <v>29747.88</v>
      </c>
      <c r="F28" s="16">
        <v>2.24E-2</v>
      </c>
      <c r="G28" s="75">
        <v>6.8500000000000005E-2</v>
      </c>
    </row>
    <row r="29" spans="1:7" x14ac:dyDescent="0.25">
      <c r="A29" s="74" t="s">
        <v>1719</v>
      </c>
      <c r="B29" s="31" t="s">
        <v>214</v>
      </c>
      <c r="C29" s="31" t="s">
        <v>121</v>
      </c>
      <c r="D29" s="14">
        <v>24500000</v>
      </c>
      <c r="E29" s="15">
        <v>25286.43</v>
      </c>
      <c r="F29" s="16">
        <v>1.9E-2</v>
      </c>
      <c r="G29" s="75">
        <v>6.9137000000000004E-2</v>
      </c>
    </row>
    <row r="30" spans="1:7" x14ac:dyDescent="0.25">
      <c r="A30" s="74" t="s">
        <v>1720</v>
      </c>
      <c r="B30" s="31" t="s">
        <v>215</v>
      </c>
      <c r="C30" s="31" t="s">
        <v>121</v>
      </c>
      <c r="D30" s="14">
        <v>17500000</v>
      </c>
      <c r="E30" s="15">
        <v>18132.12</v>
      </c>
      <c r="F30" s="16">
        <v>1.37E-2</v>
      </c>
      <c r="G30" s="75">
        <v>6.9137000000000004E-2</v>
      </c>
    </row>
    <row r="31" spans="1:7" x14ac:dyDescent="0.25">
      <c r="A31" s="74" t="s">
        <v>1721</v>
      </c>
      <c r="B31" s="31" t="s">
        <v>216</v>
      </c>
      <c r="C31" s="31" t="s">
        <v>121</v>
      </c>
      <c r="D31" s="14">
        <v>14500000</v>
      </c>
      <c r="E31" s="15">
        <v>15657.32</v>
      </c>
      <c r="F31" s="16">
        <v>1.18E-2</v>
      </c>
      <c r="G31" s="75">
        <v>6.9000000000000006E-2</v>
      </c>
    </row>
    <row r="32" spans="1:7" x14ac:dyDescent="0.25">
      <c r="A32" s="74" t="s">
        <v>1744</v>
      </c>
      <c r="B32" s="31" t="s">
        <v>217</v>
      </c>
      <c r="C32" s="31" t="s">
        <v>121</v>
      </c>
      <c r="D32" s="14">
        <v>14000000</v>
      </c>
      <c r="E32" s="15">
        <v>15174.47</v>
      </c>
      <c r="F32" s="16">
        <v>1.14E-2</v>
      </c>
      <c r="G32" s="75">
        <v>6.9837999999999997E-2</v>
      </c>
    </row>
    <row r="33" spans="1:7" x14ac:dyDescent="0.25">
      <c r="A33" s="74" t="s">
        <v>1722</v>
      </c>
      <c r="B33" s="31" t="s">
        <v>218</v>
      </c>
      <c r="C33" s="31" t="s">
        <v>118</v>
      </c>
      <c r="D33" s="14">
        <v>11500000</v>
      </c>
      <c r="E33" s="15">
        <v>12226.69</v>
      </c>
      <c r="F33" s="16">
        <v>9.1999999999999998E-3</v>
      </c>
      <c r="G33" s="75">
        <v>6.9338999999999998E-2</v>
      </c>
    </row>
    <row r="34" spans="1:7" x14ac:dyDescent="0.25">
      <c r="A34" s="74" t="s">
        <v>1723</v>
      </c>
      <c r="B34" s="31" t="s">
        <v>219</v>
      </c>
      <c r="C34" s="31" t="s">
        <v>220</v>
      </c>
      <c r="D34" s="14">
        <v>10000000</v>
      </c>
      <c r="E34" s="15">
        <v>10330.24</v>
      </c>
      <c r="F34" s="16">
        <v>7.7999999999999996E-3</v>
      </c>
      <c r="G34" s="75">
        <v>7.0598999999999995E-2</v>
      </c>
    </row>
    <row r="35" spans="1:7" x14ac:dyDescent="0.25">
      <c r="A35" s="74" t="s">
        <v>1724</v>
      </c>
      <c r="B35" s="31" t="s">
        <v>221</v>
      </c>
      <c r="C35" s="31" t="s">
        <v>118</v>
      </c>
      <c r="D35" s="14">
        <v>9500000</v>
      </c>
      <c r="E35" s="15">
        <v>9799</v>
      </c>
      <c r="F35" s="16">
        <v>7.4000000000000003E-3</v>
      </c>
      <c r="G35" s="75">
        <v>7.0209999999999995E-2</v>
      </c>
    </row>
    <row r="36" spans="1:7" x14ac:dyDescent="0.25">
      <c r="A36" s="74" t="s">
        <v>1725</v>
      </c>
      <c r="B36" s="31" t="s">
        <v>222</v>
      </c>
      <c r="C36" s="31" t="s">
        <v>121</v>
      </c>
      <c r="D36" s="14">
        <v>8000000</v>
      </c>
      <c r="E36" s="15">
        <v>8413.75</v>
      </c>
      <c r="F36" s="16">
        <v>6.3E-3</v>
      </c>
      <c r="G36" s="75">
        <v>7.0516999999999996E-2</v>
      </c>
    </row>
    <row r="37" spans="1:7" x14ac:dyDescent="0.25">
      <c r="A37" s="74" t="s">
        <v>1726</v>
      </c>
      <c r="B37" s="31" t="s">
        <v>223</v>
      </c>
      <c r="C37" s="31" t="s">
        <v>121</v>
      </c>
      <c r="D37" s="14">
        <v>7500000</v>
      </c>
      <c r="E37" s="15">
        <v>7773.95</v>
      </c>
      <c r="F37" s="16">
        <v>5.8999999999999999E-3</v>
      </c>
      <c r="G37" s="75">
        <v>6.8449999999999997E-2</v>
      </c>
    </row>
    <row r="38" spans="1:7" x14ac:dyDescent="0.25">
      <c r="A38" s="74" t="s">
        <v>1727</v>
      </c>
      <c r="B38" s="31" t="s">
        <v>224</v>
      </c>
      <c r="C38" s="31" t="s">
        <v>121</v>
      </c>
      <c r="D38" s="14">
        <v>7500000</v>
      </c>
      <c r="E38" s="15">
        <v>7751.17</v>
      </c>
      <c r="F38" s="16">
        <v>5.7999999999999996E-3</v>
      </c>
      <c r="G38" s="75">
        <v>6.9137000000000004E-2</v>
      </c>
    </row>
    <row r="39" spans="1:7" x14ac:dyDescent="0.25">
      <c r="A39" s="74" t="s">
        <v>1728</v>
      </c>
      <c r="B39" s="31" t="s">
        <v>225</v>
      </c>
      <c r="C39" s="31" t="s">
        <v>121</v>
      </c>
      <c r="D39" s="14">
        <v>6500000</v>
      </c>
      <c r="E39" s="15">
        <v>6963.87</v>
      </c>
      <c r="F39" s="16">
        <v>5.1999999999999998E-3</v>
      </c>
      <c r="G39" s="75">
        <v>7.0000000000000007E-2</v>
      </c>
    </row>
    <row r="40" spans="1:7" x14ac:dyDescent="0.25">
      <c r="A40" s="74" t="s">
        <v>1729</v>
      </c>
      <c r="B40" s="31" t="s">
        <v>226</v>
      </c>
      <c r="C40" s="31" t="s">
        <v>121</v>
      </c>
      <c r="D40" s="14">
        <v>6150000</v>
      </c>
      <c r="E40" s="15">
        <v>6765.25</v>
      </c>
      <c r="F40" s="16">
        <v>5.1000000000000004E-3</v>
      </c>
      <c r="G40" s="75">
        <v>7.0000000000000007E-2</v>
      </c>
    </row>
    <row r="41" spans="1:7" x14ac:dyDescent="0.25">
      <c r="A41" s="74" t="s">
        <v>1730</v>
      </c>
      <c r="B41" s="31" t="s">
        <v>227</v>
      </c>
      <c r="C41" s="31" t="s">
        <v>121</v>
      </c>
      <c r="D41" s="14">
        <v>6500000</v>
      </c>
      <c r="E41" s="15">
        <v>6586.32</v>
      </c>
      <c r="F41" s="16">
        <v>5.0000000000000001E-3</v>
      </c>
      <c r="G41" s="75">
        <v>7.0400000000000004E-2</v>
      </c>
    </row>
    <row r="42" spans="1:7" x14ac:dyDescent="0.25">
      <c r="A42" s="74" t="s">
        <v>1731</v>
      </c>
      <c r="B42" s="31" t="s">
        <v>228</v>
      </c>
      <c r="C42" s="31" t="s">
        <v>146</v>
      </c>
      <c r="D42" s="14">
        <v>6000000</v>
      </c>
      <c r="E42" s="15">
        <v>6203.78</v>
      </c>
      <c r="F42" s="16">
        <v>4.7000000000000002E-3</v>
      </c>
      <c r="G42" s="75">
        <v>6.8949999999999997E-2</v>
      </c>
    </row>
    <row r="43" spans="1:7" x14ac:dyDescent="0.25">
      <c r="A43" s="74" t="s">
        <v>1745</v>
      </c>
      <c r="B43" s="31" t="s">
        <v>229</v>
      </c>
      <c r="C43" s="31" t="s">
        <v>121</v>
      </c>
      <c r="D43" s="14">
        <v>5500000</v>
      </c>
      <c r="E43" s="15">
        <v>6038.82</v>
      </c>
      <c r="F43" s="16">
        <v>4.4999999999999997E-3</v>
      </c>
      <c r="G43" s="75">
        <v>7.0000000000000007E-2</v>
      </c>
    </row>
    <row r="44" spans="1:7" x14ac:dyDescent="0.25">
      <c r="A44" s="74" t="s">
        <v>1732</v>
      </c>
      <c r="B44" s="31" t="s">
        <v>230</v>
      </c>
      <c r="C44" s="31" t="s">
        <v>121</v>
      </c>
      <c r="D44" s="14">
        <v>5500000</v>
      </c>
      <c r="E44" s="15">
        <v>5645.96</v>
      </c>
      <c r="F44" s="16">
        <v>4.3E-3</v>
      </c>
      <c r="G44" s="75">
        <v>6.9150000000000003E-2</v>
      </c>
    </row>
    <row r="45" spans="1:7" x14ac:dyDescent="0.25">
      <c r="A45" s="74" t="s">
        <v>1733</v>
      </c>
      <c r="B45" s="31" t="s">
        <v>231</v>
      </c>
      <c r="C45" s="31" t="s">
        <v>121</v>
      </c>
      <c r="D45" s="14">
        <v>5000000</v>
      </c>
      <c r="E45" s="15">
        <v>5511.38</v>
      </c>
      <c r="F45" s="16">
        <v>4.1999999999999997E-3</v>
      </c>
      <c r="G45" s="75">
        <v>6.9775000000000004E-2</v>
      </c>
    </row>
    <row r="46" spans="1:7" x14ac:dyDescent="0.25">
      <c r="A46" s="74" t="s">
        <v>1734</v>
      </c>
      <c r="B46" s="31" t="s">
        <v>232</v>
      </c>
      <c r="C46" s="31" t="s">
        <v>89</v>
      </c>
      <c r="D46" s="14">
        <v>5100000</v>
      </c>
      <c r="E46" s="15">
        <v>5133.16</v>
      </c>
      <c r="F46" s="16">
        <v>3.8999999999999998E-3</v>
      </c>
      <c r="G46" s="75">
        <v>7.0149000000000003E-2</v>
      </c>
    </row>
    <row r="47" spans="1:7" x14ac:dyDescent="0.25">
      <c r="A47" s="74" t="s">
        <v>1746</v>
      </c>
      <c r="B47" s="31" t="s">
        <v>233</v>
      </c>
      <c r="C47" s="31" t="s">
        <v>118</v>
      </c>
      <c r="D47" s="14">
        <v>5000000</v>
      </c>
      <c r="E47" s="15">
        <v>5053.2</v>
      </c>
      <c r="F47" s="16">
        <v>3.8E-3</v>
      </c>
      <c r="G47" s="75">
        <v>7.0400000000000004E-2</v>
      </c>
    </row>
    <row r="48" spans="1:7" x14ac:dyDescent="0.25">
      <c r="A48" s="74" t="s">
        <v>1735</v>
      </c>
      <c r="B48" s="31" t="s">
        <v>234</v>
      </c>
      <c r="C48" s="31" t="s">
        <v>121</v>
      </c>
      <c r="D48" s="14">
        <v>4500000</v>
      </c>
      <c r="E48" s="15">
        <v>4747.8599999999997</v>
      </c>
      <c r="F48" s="16">
        <v>3.5999999999999999E-3</v>
      </c>
      <c r="G48" s="75">
        <v>6.9775000000000004E-2</v>
      </c>
    </row>
    <row r="49" spans="1:7" x14ac:dyDescent="0.25">
      <c r="A49" s="74" t="s">
        <v>1736</v>
      </c>
      <c r="B49" s="31" t="s">
        <v>235</v>
      </c>
      <c r="C49" s="31" t="s">
        <v>118</v>
      </c>
      <c r="D49" s="14">
        <v>3800000</v>
      </c>
      <c r="E49" s="15">
        <v>3879.17</v>
      </c>
      <c r="F49" s="16">
        <v>2.8999999999999998E-3</v>
      </c>
      <c r="G49" s="75">
        <v>7.0149000000000003E-2</v>
      </c>
    </row>
    <row r="50" spans="1:7" x14ac:dyDescent="0.25">
      <c r="A50" s="74" t="s">
        <v>1737</v>
      </c>
      <c r="B50" s="31" t="s">
        <v>236</v>
      </c>
      <c r="C50" s="31" t="s">
        <v>121</v>
      </c>
      <c r="D50" s="14">
        <v>3000000</v>
      </c>
      <c r="E50" s="15">
        <v>3213.63</v>
      </c>
      <c r="F50" s="16">
        <v>2.3999999999999998E-3</v>
      </c>
      <c r="G50" s="75">
        <v>6.9499000000000005E-2</v>
      </c>
    </row>
    <row r="51" spans="1:7" x14ac:dyDescent="0.25">
      <c r="A51" s="74" t="s">
        <v>1738</v>
      </c>
      <c r="B51" s="31" t="s">
        <v>237</v>
      </c>
      <c r="C51" s="31" t="s">
        <v>121</v>
      </c>
      <c r="D51" s="14">
        <v>2500000</v>
      </c>
      <c r="E51" s="15">
        <v>2693.15</v>
      </c>
      <c r="F51" s="16">
        <v>2E-3</v>
      </c>
      <c r="G51" s="75">
        <v>6.9751999999999995E-2</v>
      </c>
    </row>
    <row r="52" spans="1:7" x14ac:dyDescent="0.25">
      <c r="A52" s="74" t="s">
        <v>1739</v>
      </c>
      <c r="B52" s="31" t="s">
        <v>238</v>
      </c>
      <c r="C52" s="31" t="s">
        <v>121</v>
      </c>
      <c r="D52" s="14">
        <v>2000000</v>
      </c>
      <c r="E52" s="15">
        <v>2277.13</v>
      </c>
      <c r="F52" s="16">
        <v>1.6999999999999999E-3</v>
      </c>
      <c r="G52" s="75">
        <v>6.8449999999999997E-2</v>
      </c>
    </row>
    <row r="53" spans="1:7" x14ac:dyDescent="0.25">
      <c r="A53" s="74" t="s">
        <v>1740</v>
      </c>
      <c r="B53" s="31" t="s">
        <v>239</v>
      </c>
      <c r="C53" s="31" t="s">
        <v>121</v>
      </c>
      <c r="D53" s="14">
        <v>2000000</v>
      </c>
      <c r="E53" s="15">
        <v>2114.73</v>
      </c>
      <c r="F53" s="16">
        <v>1.6000000000000001E-3</v>
      </c>
      <c r="G53" s="75">
        <v>6.9137000000000004E-2</v>
      </c>
    </row>
    <row r="54" spans="1:7" x14ac:dyDescent="0.25">
      <c r="A54" s="74" t="s">
        <v>1741</v>
      </c>
      <c r="B54" s="31" t="s">
        <v>240</v>
      </c>
      <c r="C54" s="31" t="s">
        <v>121</v>
      </c>
      <c r="D54" s="14">
        <v>1500000</v>
      </c>
      <c r="E54" s="15">
        <v>1608.33</v>
      </c>
      <c r="F54" s="16">
        <v>1.1999999999999999E-3</v>
      </c>
      <c r="G54" s="75">
        <v>6.9150000000000003E-2</v>
      </c>
    </row>
    <row r="55" spans="1:7" x14ac:dyDescent="0.25">
      <c r="A55" s="74" t="s">
        <v>1742</v>
      </c>
      <c r="B55" s="31" t="s">
        <v>241</v>
      </c>
      <c r="C55" s="31" t="s">
        <v>121</v>
      </c>
      <c r="D55" s="14">
        <v>1000000</v>
      </c>
      <c r="E55" s="15">
        <v>1027.17</v>
      </c>
      <c r="F55" s="16">
        <v>8.0000000000000004E-4</v>
      </c>
      <c r="G55" s="75">
        <v>6.8449999999999997E-2</v>
      </c>
    </row>
    <row r="56" spans="1:7" x14ac:dyDescent="0.25">
      <c r="A56" s="74" t="s">
        <v>1743</v>
      </c>
      <c r="B56" s="31" t="s">
        <v>242</v>
      </c>
      <c r="C56" s="31" t="s">
        <v>118</v>
      </c>
      <c r="D56" s="14">
        <v>1000000</v>
      </c>
      <c r="E56" s="15">
        <v>1020.25</v>
      </c>
      <c r="F56" s="16">
        <v>8.0000000000000004E-4</v>
      </c>
      <c r="G56" s="75">
        <v>7.0088999999999999E-2</v>
      </c>
    </row>
    <row r="57" spans="1:7" x14ac:dyDescent="0.25">
      <c r="A57" s="76" t="s">
        <v>90</v>
      </c>
      <c r="B57" s="32"/>
      <c r="C57" s="32"/>
      <c r="D57" s="18"/>
      <c r="E57" s="35">
        <v>1177101.69</v>
      </c>
      <c r="F57" s="36">
        <v>0.88649999999999995</v>
      </c>
      <c r="G57" s="77"/>
    </row>
    <row r="58" spans="1:7" x14ac:dyDescent="0.25">
      <c r="A58" s="74"/>
      <c r="B58" s="31"/>
      <c r="C58" s="31"/>
      <c r="D58" s="14"/>
      <c r="E58" s="15"/>
      <c r="F58" s="16"/>
      <c r="G58" s="75"/>
    </row>
    <row r="59" spans="1:7" x14ac:dyDescent="0.25">
      <c r="A59" s="76" t="s">
        <v>195</v>
      </c>
      <c r="B59" s="31"/>
      <c r="C59" s="31"/>
      <c r="D59" s="14"/>
      <c r="E59" s="15"/>
      <c r="F59" s="16"/>
      <c r="G59" s="75"/>
    </row>
    <row r="60" spans="1:7" x14ac:dyDescent="0.25">
      <c r="A60" s="74" t="s">
        <v>1747</v>
      </c>
      <c r="B60" s="31" t="s">
        <v>243</v>
      </c>
      <c r="C60" s="31" t="s">
        <v>197</v>
      </c>
      <c r="D60" s="14">
        <v>45000000</v>
      </c>
      <c r="E60" s="15">
        <v>44102.75</v>
      </c>
      <c r="F60" s="16">
        <v>3.32E-2</v>
      </c>
      <c r="G60" s="75">
        <v>6.7928000000000002E-2</v>
      </c>
    </row>
    <row r="61" spans="1:7" x14ac:dyDescent="0.25">
      <c r="A61" s="74" t="s">
        <v>1748</v>
      </c>
      <c r="B61" s="31" t="s">
        <v>244</v>
      </c>
      <c r="C61" s="31" t="s">
        <v>197</v>
      </c>
      <c r="D61" s="14">
        <v>31500000</v>
      </c>
      <c r="E61" s="15">
        <v>33477.29</v>
      </c>
      <c r="F61" s="16">
        <v>2.52E-2</v>
      </c>
      <c r="G61" s="75">
        <v>6.8441000000000002E-2</v>
      </c>
    </row>
    <row r="62" spans="1:7" x14ac:dyDescent="0.25">
      <c r="A62" s="74" t="s">
        <v>1749</v>
      </c>
      <c r="B62" s="31" t="s">
        <v>245</v>
      </c>
      <c r="C62" s="31" t="s">
        <v>197</v>
      </c>
      <c r="D62" s="14">
        <v>29500000</v>
      </c>
      <c r="E62" s="15">
        <v>29507.4</v>
      </c>
      <c r="F62" s="16">
        <v>2.2200000000000001E-2</v>
      </c>
      <c r="G62" s="75">
        <v>6.7834000000000005E-2</v>
      </c>
    </row>
    <row r="63" spans="1:7" x14ac:dyDescent="0.25">
      <c r="A63" s="76" t="s">
        <v>90</v>
      </c>
      <c r="B63" s="32"/>
      <c r="C63" s="32"/>
      <c r="D63" s="18"/>
      <c r="E63" s="35">
        <v>107087.44</v>
      </c>
      <c r="F63" s="36">
        <v>8.0600000000000005E-2</v>
      </c>
      <c r="G63" s="77"/>
    </row>
    <row r="64" spans="1:7" x14ac:dyDescent="0.25">
      <c r="A64" s="74"/>
      <c r="B64" s="31"/>
      <c r="C64" s="31"/>
      <c r="D64" s="14"/>
      <c r="E64" s="15"/>
      <c r="F64" s="16"/>
      <c r="G64" s="75"/>
    </row>
    <row r="65" spans="1:7" x14ac:dyDescent="0.25">
      <c r="A65" s="76" t="s">
        <v>91</v>
      </c>
      <c r="B65" s="31"/>
      <c r="C65" s="31"/>
      <c r="D65" s="14"/>
      <c r="E65" s="15"/>
      <c r="F65" s="16"/>
      <c r="G65" s="75"/>
    </row>
    <row r="66" spans="1:7" x14ac:dyDescent="0.25">
      <c r="A66" s="76" t="s">
        <v>90</v>
      </c>
      <c r="B66" s="31"/>
      <c r="C66" s="31"/>
      <c r="D66" s="14"/>
      <c r="E66" s="37" t="s">
        <v>85</v>
      </c>
      <c r="F66" s="38" t="s">
        <v>85</v>
      </c>
      <c r="G66" s="75"/>
    </row>
    <row r="67" spans="1:7" x14ac:dyDescent="0.25">
      <c r="A67" s="74"/>
      <c r="B67" s="31"/>
      <c r="C67" s="31"/>
      <c r="D67" s="14"/>
      <c r="E67" s="15"/>
      <c r="F67" s="16"/>
      <c r="G67" s="75"/>
    </row>
    <row r="68" spans="1:7" x14ac:dyDescent="0.25">
      <c r="A68" s="76" t="s">
        <v>92</v>
      </c>
      <c r="B68" s="31"/>
      <c r="C68" s="31"/>
      <c r="D68" s="14"/>
      <c r="E68" s="15"/>
      <c r="F68" s="16"/>
      <c r="G68" s="75"/>
    </row>
    <row r="69" spans="1:7" x14ac:dyDescent="0.25">
      <c r="A69" s="76" t="s">
        <v>90</v>
      </c>
      <c r="B69" s="31"/>
      <c r="C69" s="31"/>
      <c r="D69" s="14"/>
      <c r="E69" s="37" t="s">
        <v>85</v>
      </c>
      <c r="F69" s="38" t="s">
        <v>85</v>
      </c>
      <c r="G69" s="75"/>
    </row>
    <row r="70" spans="1:7" x14ac:dyDescent="0.25">
      <c r="A70" s="74"/>
      <c r="B70" s="31"/>
      <c r="C70" s="31"/>
      <c r="D70" s="14"/>
      <c r="E70" s="15"/>
      <c r="F70" s="16"/>
      <c r="G70" s="75"/>
    </row>
    <row r="71" spans="1:7" x14ac:dyDescent="0.25">
      <c r="A71" s="78" t="s">
        <v>93</v>
      </c>
      <c r="B71" s="79"/>
      <c r="C71" s="79"/>
      <c r="D71" s="80"/>
      <c r="E71" s="35">
        <v>1284189.1299999999</v>
      </c>
      <c r="F71" s="36">
        <v>0.96709999999999996</v>
      </c>
      <c r="G71" s="77"/>
    </row>
    <row r="72" spans="1:7" x14ac:dyDescent="0.25">
      <c r="A72" s="74"/>
      <c r="B72" s="31"/>
      <c r="C72" s="31"/>
      <c r="D72" s="14"/>
      <c r="E72" s="15"/>
      <c r="F72" s="16"/>
      <c r="G72" s="75"/>
    </row>
    <row r="73" spans="1:7" x14ac:dyDescent="0.25">
      <c r="A73" s="74"/>
      <c r="B73" s="31"/>
      <c r="C73" s="31"/>
      <c r="D73" s="14"/>
      <c r="E73" s="15"/>
      <c r="F73" s="16"/>
      <c r="G73" s="75"/>
    </row>
    <row r="74" spans="1:7" x14ac:dyDescent="0.25">
      <c r="A74" s="76" t="s">
        <v>110</v>
      </c>
      <c r="B74" s="31"/>
      <c r="C74" s="31"/>
      <c r="D74" s="14"/>
      <c r="E74" s="15"/>
      <c r="F74" s="16"/>
      <c r="G74" s="75"/>
    </row>
    <row r="75" spans="1:7" x14ac:dyDescent="0.25">
      <c r="A75" s="74" t="s">
        <v>111</v>
      </c>
      <c r="B75" s="31"/>
      <c r="C75" s="31"/>
      <c r="D75" s="14"/>
      <c r="E75" s="15">
        <v>16074.7</v>
      </c>
      <c r="F75" s="16">
        <v>1.21E-2</v>
      </c>
      <c r="G75" s="75">
        <v>3.5790000000000002E-2</v>
      </c>
    </row>
    <row r="76" spans="1:7" x14ac:dyDescent="0.25">
      <c r="A76" s="76" t="s">
        <v>90</v>
      </c>
      <c r="B76" s="32"/>
      <c r="C76" s="32"/>
      <c r="D76" s="18"/>
      <c r="E76" s="35">
        <v>16074.7</v>
      </c>
      <c r="F76" s="36">
        <v>1.21E-2</v>
      </c>
      <c r="G76" s="77"/>
    </row>
    <row r="77" spans="1:7" x14ac:dyDescent="0.25">
      <c r="A77" s="74"/>
      <c r="B77" s="31"/>
      <c r="C77" s="31"/>
      <c r="D77" s="14"/>
      <c r="E77" s="15"/>
      <c r="F77" s="16"/>
      <c r="G77" s="75"/>
    </row>
    <row r="78" spans="1:7" x14ac:dyDescent="0.25">
      <c r="A78" s="78" t="s">
        <v>93</v>
      </c>
      <c r="B78" s="79"/>
      <c r="C78" s="79"/>
      <c r="D78" s="80"/>
      <c r="E78" s="35">
        <v>16074.7</v>
      </c>
      <c r="F78" s="36">
        <v>1.21E-2</v>
      </c>
      <c r="G78" s="77"/>
    </row>
    <row r="79" spans="1:7" x14ac:dyDescent="0.25">
      <c r="A79" s="74" t="s">
        <v>112</v>
      </c>
      <c r="B79" s="31"/>
      <c r="C79" s="31"/>
      <c r="D79" s="14"/>
      <c r="E79" s="15">
        <v>27500.566250899999</v>
      </c>
      <c r="F79" s="16">
        <v>2.0709999999999999E-2</v>
      </c>
      <c r="G79" s="75"/>
    </row>
    <row r="80" spans="1:7" x14ac:dyDescent="0.25">
      <c r="A80" s="74" t="s">
        <v>113</v>
      </c>
      <c r="B80" s="31"/>
      <c r="C80" s="31"/>
      <c r="D80" s="14"/>
      <c r="E80" s="15">
        <v>79.953749099999996</v>
      </c>
      <c r="F80" s="16">
        <v>9.0000000000000006E-5</v>
      </c>
      <c r="G80" s="75">
        <v>3.5790000000000002E-2</v>
      </c>
    </row>
    <row r="81" spans="1:7" x14ac:dyDescent="0.25">
      <c r="A81" s="81" t="s">
        <v>114</v>
      </c>
      <c r="B81" s="34"/>
      <c r="C81" s="34"/>
      <c r="D81" s="27"/>
      <c r="E81" s="28">
        <v>1327844.3500000001</v>
      </c>
      <c r="F81" s="29">
        <v>1</v>
      </c>
      <c r="G81" s="82"/>
    </row>
    <row r="82" spans="1:7" x14ac:dyDescent="0.25">
      <c r="A82" s="54"/>
      <c r="B82" s="56"/>
      <c r="C82" s="56"/>
      <c r="D82" s="56"/>
      <c r="E82" s="56"/>
      <c r="F82" s="56"/>
      <c r="G82" s="66"/>
    </row>
    <row r="83" spans="1:7" x14ac:dyDescent="0.25">
      <c r="A83" s="83" t="s">
        <v>116</v>
      </c>
      <c r="B83" s="56"/>
      <c r="C83" s="56"/>
      <c r="D83" s="56"/>
      <c r="E83" s="56"/>
      <c r="F83" s="56"/>
      <c r="G83" s="66"/>
    </row>
    <row r="84" spans="1:7" x14ac:dyDescent="0.25">
      <c r="A84" s="54"/>
      <c r="B84" s="56"/>
      <c r="C84" s="56"/>
      <c r="D84" s="56"/>
      <c r="E84" s="56"/>
      <c r="F84" s="56"/>
      <c r="G84" s="66"/>
    </row>
    <row r="85" spans="1:7" x14ac:dyDescent="0.25">
      <c r="A85" s="83" t="s">
        <v>1476</v>
      </c>
      <c r="B85" s="56"/>
      <c r="C85" s="56"/>
      <c r="D85" s="56"/>
      <c r="E85" s="56"/>
      <c r="F85" s="56"/>
      <c r="G85" s="66"/>
    </row>
    <row r="86" spans="1:7" x14ac:dyDescent="0.25">
      <c r="A86" s="84" t="s">
        <v>1477</v>
      </c>
      <c r="B86" s="85" t="s">
        <v>85</v>
      </c>
      <c r="C86" s="56"/>
      <c r="D86" s="56"/>
      <c r="E86" s="56"/>
      <c r="F86" s="56"/>
      <c r="G86" s="66"/>
    </row>
    <row r="87" spans="1:7" x14ac:dyDescent="0.25">
      <c r="A87" s="54" t="s">
        <v>1626</v>
      </c>
      <c r="B87" s="56"/>
      <c r="C87" s="56"/>
      <c r="D87" s="56"/>
      <c r="E87" s="56"/>
      <c r="F87" s="56"/>
      <c r="G87" s="66"/>
    </row>
    <row r="88" spans="1:7" x14ac:dyDescent="0.25">
      <c r="A88" s="54" t="s">
        <v>1496</v>
      </c>
      <c r="B88" s="85" t="s">
        <v>1479</v>
      </c>
      <c r="C88" s="85" t="s">
        <v>1479</v>
      </c>
      <c r="D88" s="56"/>
      <c r="E88" s="56"/>
      <c r="F88" s="56"/>
      <c r="G88" s="66"/>
    </row>
    <row r="89" spans="1:7" x14ac:dyDescent="0.25">
      <c r="A89" s="54"/>
      <c r="B89" s="86">
        <v>44469</v>
      </c>
      <c r="C89" s="86">
        <v>44651</v>
      </c>
      <c r="D89" s="56"/>
      <c r="E89" s="56"/>
      <c r="F89" s="56"/>
      <c r="G89" s="66"/>
    </row>
    <row r="90" spans="1:7" x14ac:dyDescent="0.25">
      <c r="A90" s="54" t="s">
        <v>1497</v>
      </c>
      <c r="B90" s="56">
        <v>1179.9168999999999</v>
      </c>
      <c r="C90" s="56">
        <v>1203.0839000000001</v>
      </c>
      <c r="D90" s="56"/>
      <c r="E90" s="59"/>
      <c r="F90" s="56"/>
      <c r="G90" s="87"/>
    </row>
    <row r="91" spans="1:7" x14ac:dyDescent="0.25">
      <c r="A91" s="54"/>
      <c r="B91" s="56"/>
      <c r="C91" s="56"/>
      <c r="D91" s="56"/>
      <c r="E91" s="59"/>
      <c r="F91" s="56"/>
      <c r="G91" s="87"/>
    </row>
    <row r="92" spans="1:7" x14ac:dyDescent="0.25">
      <c r="A92" s="54" t="s">
        <v>2006</v>
      </c>
      <c r="B92" s="85" t="s">
        <v>85</v>
      </c>
      <c r="C92" s="56"/>
      <c r="D92" s="56"/>
      <c r="E92" s="56"/>
      <c r="F92" s="56"/>
      <c r="G92" s="66"/>
    </row>
    <row r="93" spans="1:7" x14ac:dyDescent="0.25">
      <c r="A93" s="54" t="s">
        <v>2008</v>
      </c>
      <c r="B93" s="85" t="s">
        <v>85</v>
      </c>
      <c r="C93" s="56"/>
      <c r="D93" s="56"/>
      <c r="E93" s="56"/>
      <c r="F93" s="56"/>
      <c r="G93" s="66"/>
    </row>
    <row r="94" spans="1:7" ht="17.25" customHeight="1" x14ac:dyDescent="0.25">
      <c r="A94" s="84" t="s">
        <v>2009</v>
      </c>
      <c r="B94" s="85" t="s">
        <v>85</v>
      </c>
      <c r="C94" s="56"/>
      <c r="D94" s="56"/>
      <c r="E94" s="56"/>
      <c r="F94" s="56"/>
      <c r="G94" s="66"/>
    </row>
    <row r="95" spans="1:7" x14ac:dyDescent="0.25">
      <c r="A95" s="84" t="s">
        <v>2010</v>
      </c>
      <c r="B95" s="85" t="s">
        <v>85</v>
      </c>
      <c r="C95" s="56"/>
      <c r="D95" s="56"/>
      <c r="E95" s="56"/>
      <c r="F95" s="56"/>
      <c r="G95" s="66"/>
    </row>
    <row r="96" spans="1:7" x14ac:dyDescent="0.25">
      <c r="A96" s="54" t="s">
        <v>1494</v>
      </c>
      <c r="B96" s="88">
        <v>7.7085646501296141</v>
      </c>
      <c r="C96" s="56"/>
      <c r="D96" s="56"/>
      <c r="E96" s="56"/>
      <c r="F96" s="56"/>
      <c r="G96" s="66"/>
    </row>
    <row r="97" spans="1:7" ht="30" x14ac:dyDescent="0.25">
      <c r="A97" s="84" t="s">
        <v>2011</v>
      </c>
      <c r="B97" s="85" t="s">
        <v>85</v>
      </c>
      <c r="C97" s="56"/>
      <c r="D97" s="56"/>
      <c r="E97" s="56"/>
      <c r="F97" s="56"/>
      <c r="G97" s="66"/>
    </row>
    <row r="98" spans="1:7" ht="30" x14ac:dyDescent="0.25">
      <c r="A98" s="84" t="s">
        <v>1495</v>
      </c>
      <c r="B98" s="85" t="s">
        <v>85</v>
      </c>
      <c r="C98" s="56"/>
      <c r="D98" s="56"/>
      <c r="E98" s="56"/>
      <c r="F98" s="56"/>
      <c r="G98" s="66"/>
    </row>
    <row r="99" spans="1:7" ht="21" customHeight="1" x14ac:dyDescent="0.25">
      <c r="A99" s="84" t="s">
        <v>1498</v>
      </c>
      <c r="B99" s="88">
        <v>327043.32</v>
      </c>
      <c r="C99" s="56"/>
      <c r="D99" s="56"/>
      <c r="E99" s="56"/>
      <c r="F99" s="56"/>
      <c r="G99" s="66"/>
    </row>
    <row r="100" spans="1:7" x14ac:dyDescent="0.25">
      <c r="A100" s="54" t="s">
        <v>1609</v>
      </c>
      <c r="B100" s="85" t="s">
        <v>85</v>
      </c>
      <c r="C100" s="56"/>
      <c r="D100" s="56"/>
      <c r="E100" s="56"/>
      <c r="F100" s="56"/>
      <c r="G100" s="66"/>
    </row>
    <row r="101" spans="1:7" x14ac:dyDescent="0.25">
      <c r="A101" s="54" t="s">
        <v>1610</v>
      </c>
      <c r="B101" s="85" t="s">
        <v>85</v>
      </c>
      <c r="C101" s="56"/>
      <c r="D101" s="56"/>
      <c r="E101" s="56"/>
      <c r="F101" s="56"/>
      <c r="G101" s="66"/>
    </row>
    <row r="102" spans="1:7" ht="15.75" thickBot="1" x14ac:dyDescent="0.3">
      <c r="A102" s="89"/>
      <c r="B102" s="90"/>
      <c r="C102" s="90"/>
      <c r="D102" s="90"/>
      <c r="E102" s="90"/>
      <c r="F102" s="90"/>
      <c r="G102" s="91"/>
    </row>
    <row r="104" spans="1:7" ht="30" x14ac:dyDescent="0.25">
      <c r="A104" s="107" t="s">
        <v>2042</v>
      </c>
      <c r="B104" s="108" t="s">
        <v>2043</v>
      </c>
      <c r="C104" s="108" t="s">
        <v>2044</v>
      </c>
      <c r="D104" s="109" t="s">
        <v>2045</v>
      </c>
    </row>
    <row r="105" spans="1:7" ht="57.75" customHeight="1" x14ac:dyDescent="0.25">
      <c r="A105" s="110" t="str">
        <f>HYPERLINK("[EDEL_Portfolio Monthly 28-Feb-2022.xlsx]EDBE30!A1","BHARAT Bond ETF - April 2030")</f>
        <v>BHARAT Bond ETF - April 2030</v>
      </c>
      <c r="B105" s="111"/>
      <c r="C105" s="112" t="s">
        <v>2049</v>
      </c>
      <c r="D105" s="111"/>
    </row>
  </sheetData>
  <mergeCells count="2">
    <mergeCell ref="A3:G3"/>
    <mergeCell ref="A4:G4"/>
  </mergeCells>
  <pageMargins left="0.7" right="0.7" top="0.75" bottom="0.75" header="0.3" footer="0.3"/>
  <pageSetup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7"/>
  <sheetViews>
    <sheetView showGridLines="0" workbookViewId="0">
      <pane ySplit="6" topLeftCell="A81"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c r="G2"/>
    </row>
    <row r="3" spans="1:8" ht="36.75" customHeight="1" x14ac:dyDescent="0.25">
      <c r="A3" s="138" t="s">
        <v>15</v>
      </c>
      <c r="B3" s="139"/>
      <c r="C3" s="139"/>
      <c r="D3" s="139"/>
      <c r="E3" s="139"/>
      <c r="F3" s="139"/>
      <c r="G3" s="140"/>
      <c r="H3" s="46" t="str">
        <f>HYPERLINK("[EDEL_Portfolio HY 31032022.xlsx]Index!A1","Index")</f>
        <v>Index</v>
      </c>
    </row>
    <row r="4" spans="1:8" ht="19.5" customHeight="1" x14ac:dyDescent="0.25">
      <c r="A4" s="141" t="s">
        <v>16</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84</v>
      </c>
      <c r="B9" s="31"/>
      <c r="C9" s="31"/>
      <c r="D9" s="14"/>
      <c r="E9" s="52" t="s">
        <v>85</v>
      </c>
      <c r="F9" s="53" t="s">
        <v>85</v>
      </c>
      <c r="G9" s="75"/>
    </row>
    <row r="10" spans="1:8" x14ac:dyDescent="0.25">
      <c r="A10" s="74"/>
      <c r="B10" s="31"/>
      <c r="C10" s="31"/>
      <c r="D10" s="14"/>
      <c r="E10" s="15"/>
      <c r="F10" s="16"/>
      <c r="G10" s="75"/>
    </row>
    <row r="11" spans="1:8" x14ac:dyDescent="0.25">
      <c r="A11" s="76" t="s">
        <v>86</v>
      </c>
      <c r="B11" s="31"/>
      <c r="C11" s="31"/>
      <c r="D11" s="14"/>
      <c r="E11" s="15"/>
      <c r="F11" s="16"/>
      <c r="G11" s="75"/>
    </row>
    <row r="12" spans="1:8" x14ac:dyDescent="0.25">
      <c r="A12" s="76" t="s">
        <v>87</v>
      </c>
      <c r="B12" s="31"/>
      <c r="C12" s="31"/>
      <c r="D12" s="14"/>
      <c r="E12" s="15"/>
      <c r="F12" s="16"/>
      <c r="G12" s="75"/>
    </row>
    <row r="13" spans="1:8" x14ac:dyDescent="0.25">
      <c r="A13" s="74" t="s">
        <v>1750</v>
      </c>
      <c r="B13" s="31" t="s">
        <v>246</v>
      </c>
      <c r="C13" s="31" t="s">
        <v>121</v>
      </c>
      <c r="D13" s="14">
        <v>100500000</v>
      </c>
      <c r="E13" s="15">
        <v>96570.95</v>
      </c>
      <c r="F13" s="16">
        <v>9.01E-2</v>
      </c>
      <c r="G13" s="75">
        <v>7.0079000000000002E-2</v>
      </c>
    </row>
    <row r="14" spans="1:8" x14ac:dyDescent="0.25">
      <c r="A14" s="74" t="s">
        <v>1751</v>
      </c>
      <c r="B14" s="31" t="s">
        <v>247</v>
      </c>
      <c r="C14" s="31" t="s">
        <v>121</v>
      </c>
      <c r="D14" s="14">
        <v>97500000</v>
      </c>
      <c r="E14" s="15">
        <v>96180.83</v>
      </c>
      <c r="F14" s="16">
        <v>8.9700000000000002E-2</v>
      </c>
      <c r="G14" s="75">
        <v>7.1049000000000001E-2</v>
      </c>
    </row>
    <row r="15" spans="1:8" x14ac:dyDescent="0.25">
      <c r="A15" s="74" t="s">
        <v>1752</v>
      </c>
      <c r="B15" s="31" t="s">
        <v>248</v>
      </c>
      <c r="C15" s="31" t="s">
        <v>118</v>
      </c>
      <c r="D15" s="14">
        <v>100000000</v>
      </c>
      <c r="E15" s="15">
        <v>95989.5</v>
      </c>
      <c r="F15" s="16">
        <v>8.9499999999999996E-2</v>
      </c>
      <c r="G15" s="75">
        <v>7.0650000000000004E-2</v>
      </c>
    </row>
    <row r="16" spans="1:8" x14ac:dyDescent="0.25">
      <c r="A16" s="74" t="s">
        <v>1753</v>
      </c>
      <c r="B16" s="31" t="s">
        <v>249</v>
      </c>
      <c r="C16" s="31" t="s">
        <v>121</v>
      </c>
      <c r="D16" s="14">
        <v>95500000</v>
      </c>
      <c r="E16" s="15">
        <v>94305.01</v>
      </c>
      <c r="F16" s="16">
        <v>8.7900000000000006E-2</v>
      </c>
      <c r="G16" s="75">
        <v>7.0682999999999996E-2</v>
      </c>
    </row>
    <row r="17" spans="1:7" x14ac:dyDescent="0.25">
      <c r="A17" s="74" t="s">
        <v>1754</v>
      </c>
      <c r="B17" s="31" t="s">
        <v>250</v>
      </c>
      <c r="C17" s="31" t="s">
        <v>118</v>
      </c>
      <c r="D17" s="14">
        <v>94500000</v>
      </c>
      <c r="E17" s="15">
        <v>93307.13</v>
      </c>
      <c r="F17" s="16">
        <v>8.6999999999999994E-2</v>
      </c>
      <c r="G17" s="75">
        <v>6.9933999999999996E-2</v>
      </c>
    </row>
    <row r="18" spans="1:7" x14ac:dyDescent="0.25">
      <c r="A18" s="74" t="s">
        <v>1755</v>
      </c>
      <c r="B18" s="31" t="s">
        <v>251</v>
      </c>
      <c r="C18" s="31" t="s">
        <v>121</v>
      </c>
      <c r="D18" s="14">
        <v>96000000</v>
      </c>
      <c r="E18" s="15">
        <v>92935.01</v>
      </c>
      <c r="F18" s="16">
        <v>8.6699999999999999E-2</v>
      </c>
      <c r="G18" s="75">
        <v>6.9849999999999995E-2</v>
      </c>
    </row>
    <row r="19" spans="1:7" x14ac:dyDescent="0.25">
      <c r="A19" s="74" t="s">
        <v>1756</v>
      </c>
      <c r="B19" s="31" t="s">
        <v>252</v>
      </c>
      <c r="C19" s="31" t="s">
        <v>118</v>
      </c>
      <c r="D19" s="14">
        <v>81000000</v>
      </c>
      <c r="E19" s="15">
        <v>78378.11</v>
      </c>
      <c r="F19" s="16">
        <v>7.3099999999999998E-2</v>
      </c>
      <c r="G19" s="75">
        <v>6.8899000000000002E-2</v>
      </c>
    </row>
    <row r="20" spans="1:7" x14ac:dyDescent="0.25">
      <c r="A20" s="74" t="s">
        <v>1757</v>
      </c>
      <c r="B20" s="31" t="s">
        <v>253</v>
      </c>
      <c r="C20" s="31" t="s">
        <v>121</v>
      </c>
      <c r="D20" s="14">
        <v>77500000</v>
      </c>
      <c r="E20" s="15">
        <v>74092.399999999994</v>
      </c>
      <c r="F20" s="16">
        <v>6.9099999999999995E-2</v>
      </c>
      <c r="G20" s="75">
        <v>6.9587999999999997E-2</v>
      </c>
    </row>
    <row r="21" spans="1:7" x14ac:dyDescent="0.25">
      <c r="A21" s="74" t="s">
        <v>1758</v>
      </c>
      <c r="B21" s="31" t="s">
        <v>254</v>
      </c>
      <c r="C21" s="31" t="s">
        <v>121</v>
      </c>
      <c r="D21" s="14">
        <v>71500000</v>
      </c>
      <c r="E21" s="15">
        <v>69741.100000000006</v>
      </c>
      <c r="F21" s="16">
        <v>6.5000000000000002E-2</v>
      </c>
      <c r="G21" s="75">
        <v>7.0050000000000001E-2</v>
      </c>
    </row>
    <row r="22" spans="1:7" x14ac:dyDescent="0.25">
      <c r="A22" s="74" t="s">
        <v>1759</v>
      </c>
      <c r="B22" s="31" t="s">
        <v>255</v>
      </c>
      <c r="C22" s="31" t="s">
        <v>256</v>
      </c>
      <c r="D22" s="14">
        <v>59500000</v>
      </c>
      <c r="E22" s="15">
        <v>57828.53</v>
      </c>
      <c r="F22" s="16">
        <v>5.3900000000000003E-2</v>
      </c>
      <c r="G22" s="75">
        <v>7.0899000000000004E-2</v>
      </c>
    </row>
    <row r="23" spans="1:7" x14ac:dyDescent="0.25">
      <c r="A23" s="74" t="s">
        <v>1760</v>
      </c>
      <c r="B23" s="31" t="s">
        <v>257</v>
      </c>
      <c r="C23" s="31" t="s">
        <v>121</v>
      </c>
      <c r="D23" s="14">
        <v>38000000</v>
      </c>
      <c r="E23" s="15">
        <v>36277.08</v>
      </c>
      <c r="F23" s="16">
        <v>3.3799999999999997E-2</v>
      </c>
      <c r="G23" s="75">
        <v>6.9699999999999998E-2</v>
      </c>
    </row>
    <row r="24" spans="1:7" x14ac:dyDescent="0.25">
      <c r="A24" s="74" t="s">
        <v>1761</v>
      </c>
      <c r="B24" s="31" t="s">
        <v>258</v>
      </c>
      <c r="C24" s="31" t="s">
        <v>121</v>
      </c>
      <c r="D24" s="14">
        <v>22000000</v>
      </c>
      <c r="E24" s="15">
        <v>22011.66</v>
      </c>
      <c r="F24" s="16">
        <v>2.0500000000000001E-2</v>
      </c>
      <c r="G24" s="75">
        <v>7.0324999999999999E-2</v>
      </c>
    </row>
    <row r="25" spans="1:7" x14ac:dyDescent="0.25">
      <c r="A25" s="74" t="s">
        <v>1762</v>
      </c>
      <c r="B25" s="31" t="s">
        <v>259</v>
      </c>
      <c r="C25" s="31" t="s">
        <v>121</v>
      </c>
      <c r="D25" s="14">
        <v>18000000</v>
      </c>
      <c r="E25" s="15">
        <v>18002.63</v>
      </c>
      <c r="F25" s="16">
        <v>1.6799999999999999E-2</v>
      </c>
      <c r="G25" s="75">
        <v>7.0324999999999999E-2</v>
      </c>
    </row>
    <row r="26" spans="1:7" x14ac:dyDescent="0.25">
      <c r="A26" s="74" t="s">
        <v>1763</v>
      </c>
      <c r="B26" s="31" t="s">
        <v>260</v>
      </c>
      <c r="C26" s="31" t="s">
        <v>121</v>
      </c>
      <c r="D26" s="14">
        <v>11500000</v>
      </c>
      <c r="E26" s="15">
        <v>11345.47</v>
      </c>
      <c r="F26" s="16">
        <v>1.06E-2</v>
      </c>
      <c r="G26" s="75">
        <v>7.1049000000000001E-2</v>
      </c>
    </row>
    <row r="27" spans="1:7" x14ac:dyDescent="0.25">
      <c r="A27" s="74" t="s">
        <v>1764</v>
      </c>
      <c r="B27" s="31" t="s">
        <v>261</v>
      </c>
      <c r="C27" s="31" t="s">
        <v>121</v>
      </c>
      <c r="D27" s="14">
        <v>5000000</v>
      </c>
      <c r="E27" s="15">
        <v>5221.25</v>
      </c>
      <c r="F27" s="16">
        <v>4.8999999999999998E-3</v>
      </c>
      <c r="G27" s="75">
        <v>7.0516999999999996E-2</v>
      </c>
    </row>
    <row r="28" spans="1:7" x14ac:dyDescent="0.25">
      <c r="A28" s="74" t="s">
        <v>1765</v>
      </c>
      <c r="B28" s="31" t="s">
        <v>262</v>
      </c>
      <c r="C28" s="31" t="s">
        <v>121</v>
      </c>
      <c r="D28" s="14">
        <v>5000000</v>
      </c>
      <c r="E28" s="15">
        <v>5215.7700000000004</v>
      </c>
      <c r="F28" s="16">
        <v>4.8999999999999998E-3</v>
      </c>
      <c r="G28" s="75">
        <v>7.0324999999999999E-2</v>
      </c>
    </row>
    <row r="29" spans="1:7" x14ac:dyDescent="0.25">
      <c r="A29" s="74" t="s">
        <v>1766</v>
      </c>
      <c r="B29" s="31" t="s">
        <v>263</v>
      </c>
      <c r="C29" s="31" t="s">
        <v>121</v>
      </c>
      <c r="D29" s="14">
        <v>4000000</v>
      </c>
      <c r="E29" s="15">
        <v>4118.99</v>
      </c>
      <c r="F29" s="16">
        <v>3.8E-3</v>
      </c>
      <c r="G29" s="75">
        <v>7.0516999999999996E-2</v>
      </c>
    </row>
    <row r="30" spans="1:7" x14ac:dyDescent="0.25">
      <c r="A30" s="74" t="s">
        <v>1767</v>
      </c>
      <c r="B30" s="31" t="s">
        <v>264</v>
      </c>
      <c r="C30" s="31" t="s">
        <v>121</v>
      </c>
      <c r="D30" s="14">
        <v>2800000</v>
      </c>
      <c r="E30" s="15">
        <v>3043.38</v>
      </c>
      <c r="F30" s="16">
        <v>2.8E-3</v>
      </c>
      <c r="G30" s="75">
        <v>6.9499000000000005E-2</v>
      </c>
    </row>
    <row r="31" spans="1:7" x14ac:dyDescent="0.25">
      <c r="A31" s="74" t="s">
        <v>1768</v>
      </c>
      <c r="B31" s="31" t="s">
        <v>265</v>
      </c>
      <c r="C31" s="31" t="s">
        <v>121</v>
      </c>
      <c r="D31" s="14">
        <v>2500000</v>
      </c>
      <c r="E31" s="15">
        <v>2707.42</v>
      </c>
      <c r="F31" s="16">
        <v>2.5000000000000001E-3</v>
      </c>
      <c r="G31" s="75">
        <v>6.9952E-2</v>
      </c>
    </row>
    <row r="32" spans="1:7" x14ac:dyDescent="0.25">
      <c r="A32" s="74" t="s">
        <v>1769</v>
      </c>
      <c r="B32" s="31" t="s">
        <v>266</v>
      </c>
      <c r="C32" s="31" t="s">
        <v>121</v>
      </c>
      <c r="D32" s="14">
        <v>2500000</v>
      </c>
      <c r="E32" s="15">
        <v>2414.1799999999998</v>
      </c>
      <c r="F32" s="16">
        <v>2.3E-3</v>
      </c>
      <c r="G32" s="75">
        <v>6.9586999999999996E-2</v>
      </c>
    </row>
    <row r="33" spans="1:7" x14ac:dyDescent="0.25">
      <c r="A33" s="74" t="s">
        <v>267</v>
      </c>
      <c r="B33" s="31" t="s">
        <v>268</v>
      </c>
      <c r="C33" s="31" t="s">
        <v>121</v>
      </c>
      <c r="D33" s="14">
        <v>2000000</v>
      </c>
      <c r="E33" s="15">
        <v>2141.7399999999998</v>
      </c>
      <c r="F33" s="16">
        <v>2E-3</v>
      </c>
      <c r="G33" s="75">
        <v>6.9499000000000005E-2</v>
      </c>
    </row>
    <row r="34" spans="1:7" x14ac:dyDescent="0.25">
      <c r="A34" s="74" t="s">
        <v>1770</v>
      </c>
      <c r="B34" s="31" t="s">
        <v>269</v>
      </c>
      <c r="C34" s="31" t="s">
        <v>121</v>
      </c>
      <c r="D34" s="14">
        <v>2000000</v>
      </c>
      <c r="E34" s="15">
        <v>1967.1</v>
      </c>
      <c r="F34" s="16">
        <v>1.8E-3</v>
      </c>
      <c r="G34" s="75">
        <v>7.0515999999999995E-2</v>
      </c>
    </row>
    <row r="35" spans="1:7" x14ac:dyDescent="0.25">
      <c r="A35" s="74" t="s">
        <v>1771</v>
      </c>
      <c r="B35" s="31" t="s">
        <v>270</v>
      </c>
      <c r="C35" s="31" t="s">
        <v>121</v>
      </c>
      <c r="D35" s="14">
        <v>1000000</v>
      </c>
      <c r="E35" s="15">
        <v>1025.27</v>
      </c>
      <c r="F35" s="16">
        <v>1E-3</v>
      </c>
      <c r="G35" s="75">
        <v>6.9750000000000006E-2</v>
      </c>
    </row>
    <row r="36" spans="1:7" x14ac:dyDescent="0.25">
      <c r="A36" s="74" t="s">
        <v>1772</v>
      </c>
      <c r="B36" s="31" t="s">
        <v>271</v>
      </c>
      <c r="C36" s="31" t="s">
        <v>121</v>
      </c>
      <c r="D36" s="14">
        <v>1000000</v>
      </c>
      <c r="E36" s="15">
        <v>1021.9</v>
      </c>
      <c r="F36" s="16">
        <v>1E-3</v>
      </c>
      <c r="G36" s="75">
        <v>7.0324999999999999E-2</v>
      </c>
    </row>
    <row r="37" spans="1:7" x14ac:dyDescent="0.25">
      <c r="A37" s="74" t="s">
        <v>1773</v>
      </c>
      <c r="B37" s="31" t="s">
        <v>272</v>
      </c>
      <c r="C37" s="31" t="s">
        <v>121</v>
      </c>
      <c r="D37" s="14">
        <v>1000000</v>
      </c>
      <c r="E37" s="15">
        <v>995.26</v>
      </c>
      <c r="F37" s="16">
        <v>8.9999999999999998E-4</v>
      </c>
      <c r="G37" s="75">
        <v>7.0682999999999996E-2</v>
      </c>
    </row>
    <row r="38" spans="1:7" x14ac:dyDescent="0.25">
      <c r="A38" s="74" t="s">
        <v>1774</v>
      </c>
      <c r="B38" s="31" t="s">
        <v>273</v>
      </c>
      <c r="C38" s="31" t="s">
        <v>121</v>
      </c>
      <c r="D38" s="14">
        <v>500000</v>
      </c>
      <c r="E38" s="15">
        <v>543.82000000000005</v>
      </c>
      <c r="F38" s="16">
        <v>5.0000000000000001E-4</v>
      </c>
      <c r="G38" s="75">
        <v>6.9499000000000005E-2</v>
      </c>
    </row>
    <row r="39" spans="1:7" x14ac:dyDescent="0.25">
      <c r="A39" s="76" t="s">
        <v>90</v>
      </c>
      <c r="B39" s="32"/>
      <c r="C39" s="32"/>
      <c r="D39" s="18"/>
      <c r="E39" s="35">
        <v>967381.49</v>
      </c>
      <c r="F39" s="36">
        <v>0.90210000000000001</v>
      </c>
      <c r="G39" s="77"/>
    </row>
    <row r="40" spans="1:7" x14ac:dyDescent="0.25">
      <c r="A40" s="74"/>
      <c r="B40" s="31"/>
      <c r="C40" s="31"/>
      <c r="D40" s="14"/>
      <c r="E40" s="15"/>
      <c r="F40" s="16"/>
      <c r="G40" s="75"/>
    </row>
    <row r="41" spans="1:7" x14ac:dyDescent="0.25">
      <c r="A41" s="76" t="s">
        <v>195</v>
      </c>
      <c r="B41" s="31"/>
      <c r="C41" s="31"/>
      <c r="D41" s="14"/>
      <c r="E41" s="15"/>
      <c r="F41" s="16"/>
      <c r="G41" s="75"/>
    </row>
    <row r="42" spans="1:7" x14ac:dyDescent="0.25">
      <c r="A42" s="74" t="s">
        <v>1775</v>
      </c>
      <c r="B42" s="31" t="s">
        <v>274</v>
      </c>
      <c r="C42" s="31" t="s">
        <v>197</v>
      </c>
      <c r="D42" s="14">
        <v>36500000</v>
      </c>
      <c r="E42" s="15">
        <v>38212.910000000003</v>
      </c>
      <c r="F42" s="16">
        <v>3.56E-2</v>
      </c>
      <c r="G42" s="75">
        <v>6.8443000000000004E-2</v>
      </c>
    </row>
    <row r="43" spans="1:7" x14ac:dyDescent="0.25">
      <c r="A43" s="76" t="s">
        <v>90</v>
      </c>
      <c r="B43" s="32"/>
      <c r="C43" s="32"/>
      <c r="D43" s="18"/>
      <c r="E43" s="35">
        <v>38212.910000000003</v>
      </c>
      <c r="F43" s="36">
        <v>3.56E-2</v>
      </c>
      <c r="G43" s="77"/>
    </row>
    <row r="44" spans="1:7" x14ac:dyDescent="0.25">
      <c r="A44" s="74"/>
      <c r="B44" s="31"/>
      <c r="C44" s="31"/>
      <c r="D44" s="14"/>
      <c r="E44" s="15"/>
      <c r="F44" s="16"/>
      <c r="G44" s="75"/>
    </row>
    <row r="45" spans="1:7" x14ac:dyDescent="0.25">
      <c r="A45" s="76" t="s">
        <v>91</v>
      </c>
      <c r="B45" s="31"/>
      <c r="C45" s="31"/>
      <c r="D45" s="14"/>
      <c r="E45" s="15"/>
      <c r="F45" s="16"/>
      <c r="G45" s="75"/>
    </row>
    <row r="46" spans="1:7" x14ac:dyDescent="0.25">
      <c r="A46" s="76" t="s">
        <v>90</v>
      </c>
      <c r="B46" s="31"/>
      <c r="C46" s="31"/>
      <c r="D46" s="14"/>
      <c r="E46" s="37" t="s">
        <v>85</v>
      </c>
      <c r="F46" s="38" t="s">
        <v>85</v>
      </c>
      <c r="G46" s="75"/>
    </row>
    <row r="47" spans="1:7" x14ac:dyDescent="0.25">
      <c r="A47" s="74"/>
      <c r="B47" s="31"/>
      <c r="C47" s="31"/>
      <c r="D47" s="14"/>
      <c r="E47" s="15"/>
      <c r="F47" s="16"/>
      <c r="G47" s="75"/>
    </row>
    <row r="48" spans="1:7" x14ac:dyDescent="0.25">
      <c r="A48" s="76" t="s">
        <v>92</v>
      </c>
      <c r="B48" s="31"/>
      <c r="C48" s="31"/>
      <c r="D48" s="14"/>
      <c r="E48" s="15"/>
      <c r="F48" s="16"/>
      <c r="G48" s="75"/>
    </row>
    <row r="49" spans="1:7" x14ac:dyDescent="0.25">
      <c r="A49" s="76" t="s">
        <v>90</v>
      </c>
      <c r="B49" s="31"/>
      <c r="C49" s="31"/>
      <c r="D49" s="14"/>
      <c r="E49" s="37" t="s">
        <v>85</v>
      </c>
      <c r="F49" s="38" t="s">
        <v>85</v>
      </c>
      <c r="G49" s="75"/>
    </row>
    <row r="50" spans="1:7" x14ac:dyDescent="0.25">
      <c r="A50" s="74"/>
      <c r="B50" s="31"/>
      <c r="C50" s="31"/>
      <c r="D50" s="14"/>
      <c r="E50" s="15"/>
      <c r="F50" s="16"/>
      <c r="G50" s="75"/>
    </row>
    <row r="51" spans="1:7" x14ac:dyDescent="0.25">
      <c r="A51" s="78" t="s">
        <v>93</v>
      </c>
      <c r="B51" s="79"/>
      <c r="C51" s="79"/>
      <c r="D51" s="80"/>
      <c r="E51" s="35">
        <v>1005594.4</v>
      </c>
      <c r="F51" s="36">
        <v>0.93769999999999998</v>
      </c>
      <c r="G51" s="77"/>
    </row>
    <row r="52" spans="1:7" x14ac:dyDescent="0.25">
      <c r="A52" s="74"/>
      <c r="B52" s="31"/>
      <c r="C52" s="31"/>
      <c r="D52" s="14"/>
      <c r="E52" s="15"/>
      <c r="F52" s="16"/>
      <c r="G52" s="75"/>
    </row>
    <row r="53" spans="1:7" x14ac:dyDescent="0.25">
      <c r="A53" s="74"/>
      <c r="B53" s="31"/>
      <c r="C53" s="31"/>
      <c r="D53" s="14"/>
      <c r="E53" s="15"/>
      <c r="F53" s="16"/>
      <c r="G53" s="75"/>
    </row>
    <row r="54" spans="1:7" x14ac:dyDescent="0.25">
      <c r="A54" s="76" t="s">
        <v>110</v>
      </c>
      <c r="B54" s="31"/>
      <c r="C54" s="31"/>
      <c r="D54" s="14"/>
      <c r="E54" s="15"/>
      <c r="F54" s="16"/>
      <c r="G54" s="75"/>
    </row>
    <row r="55" spans="1:7" x14ac:dyDescent="0.25">
      <c r="A55" s="74" t="s">
        <v>111</v>
      </c>
      <c r="B55" s="31"/>
      <c r="C55" s="31"/>
      <c r="D55" s="14"/>
      <c r="E55" s="15">
        <v>22591.14</v>
      </c>
      <c r="F55" s="16">
        <v>2.1100000000000001E-2</v>
      </c>
      <c r="G55" s="75">
        <v>3.5790000000000002E-2</v>
      </c>
    </row>
    <row r="56" spans="1:7" x14ac:dyDescent="0.25">
      <c r="A56" s="76" t="s">
        <v>90</v>
      </c>
      <c r="B56" s="32"/>
      <c r="C56" s="32"/>
      <c r="D56" s="18"/>
      <c r="E56" s="35">
        <v>22591.14</v>
      </c>
      <c r="F56" s="36">
        <v>2.1100000000000001E-2</v>
      </c>
      <c r="G56" s="77"/>
    </row>
    <row r="57" spans="1:7" x14ac:dyDescent="0.25">
      <c r="A57" s="74"/>
      <c r="B57" s="31"/>
      <c r="C57" s="31"/>
      <c r="D57" s="14"/>
      <c r="E57" s="15"/>
      <c r="F57" s="16"/>
      <c r="G57" s="75"/>
    </row>
    <row r="58" spans="1:7" x14ac:dyDescent="0.25">
      <c r="A58" s="78" t="s">
        <v>93</v>
      </c>
      <c r="B58" s="79"/>
      <c r="C58" s="79"/>
      <c r="D58" s="80"/>
      <c r="E58" s="35">
        <v>22591.14</v>
      </c>
      <c r="F58" s="36">
        <v>2.1100000000000001E-2</v>
      </c>
      <c r="G58" s="77"/>
    </row>
    <row r="59" spans="1:7" x14ac:dyDescent="0.25">
      <c r="A59" s="74" t="s">
        <v>112</v>
      </c>
      <c r="B59" s="31"/>
      <c r="C59" s="31"/>
      <c r="D59" s="14"/>
      <c r="E59" s="15">
        <v>44061.758410800001</v>
      </c>
      <c r="F59" s="16">
        <v>4.1086999999999999E-2</v>
      </c>
      <c r="G59" s="75"/>
    </row>
    <row r="60" spans="1:7" x14ac:dyDescent="0.25">
      <c r="A60" s="74" t="s">
        <v>113</v>
      </c>
      <c r="B60" s="31"/>
      <c r="C60" s="31"/>
      <c r="D60" s="14"/>
      <c r="E60" s="15">
        <v>128.94158920000001</v>
      </c>
      <c r="F60" s="16">
        <v>1.13E-4</v>
      </c>
      <c r="G60" s="75">
        <v>3.5790000000000002E-2</v>
      </c>
    </row>
    <row r="61" spans="1:7" x14ac:dyDescent="0.25">
      <c r="A61" s="81" t="s">
        <v>114</v>
      </c>
      <c r="B61" s="34"/>
      <c r="C61" s="34"/>
      <c r="D61" s="27"/>
      <c r="E61" s="28">
        <v>1072376.24</v>
      </c>
      <c r="F61" s="29">
        <v>1</v>
      </c>
      <c r="G61" s="82"/>
    </row>
    <row r="62" spans="1:7" x14ac:dyDescent="0.25">
      <c r="A62" s="54"/>
      <c r="B62" s="56"/>
      <c r="C62" s="56"/>
      <c r="D62" s="56"/>
      <c r="E62" s="56"/>
      <c r="F62" s="56"/>
      <c r="G62" s="66"/>
    </row>
    <row r="63" spans="1:7" x14ac:dyDescent="0.25">
      <c r="A63" s="83" t="s">
        <v>116</v>
      </c>
      <c r="B63" s="56"/>
      <c r="C63" s="56"/>
      <c r="D63" s="56"/>
      <c r="E63" s="56"/>
      <c r="F63" s="56"/>
      <c r="G63" s="66"/>
    </row>
    <row r="64" spans="1:7" x14ac:dyDescent="0.25">
      <c r="A64" s="54"/>
      <c r="B64" s="56"/>
      <c r="C64" s="56"/>
      <c r="D64" s="56"/>
      <c r="E64" s="56"/>
      <c r="F64" s="56"/>
      <c r="G64" s="66"/>
    </row>
    <row r="65" spans="1:7" x14ac:dyDescent="0.25">
      <c r="A65" s="54"/>
      <c r="B65" s="56"/>
      <c r="C65" s="56"/>
      <c r="D65" s="56"/>
      <c r="E65" s="56"/>
      <c r="F65" s="56"/>
      <c r="G65" s="66"/>
    </row>
    <row r="66" spans="1:7" x14ac:dyDescent="0.25">
      <c r="A66" s="83" t="s">
        <v>1476</v>
      </c>
      <c r="B66" s="56"/>
      <c r="C66" s="56"/>
      <c r="D66" s="56"/>
      <c r="E66" s="56"/>
      <c r="F66" s="56"/>
      <c r="G66" s="66"/>
    </row>
    <row r="67" spans="1:7" x14ac:dyDescent="0.25">
      <c r="A67" s="84" t="s">
        <v>1477</v>
      </c>
      <c r="B67" s="85" t="s">
        <v>85</v>
      </c>
      <c r="C67" s="56"/>
      <c r="D67" s="56"/>
      <c r="E67" s="56"/>
      <c r="F67" s="56"/>
      <c r="G67" s="66"/>
    </row>
    <row r="68" spans="1:7" x14ac:dyDescent="0.25">
      <c r="A68" s="54" t="s">
        <v>1626</v>
      </c>
      <c r="B68" s="56"/>
      <c r="C68" s="56"/>
      <c r="D68" s="56"/>
      <c r="E68" s="56"/>
      <c r="F68" s="56"/>
      <c r="G68" s="66"/>
    </row>
    <row r="69" spans="1:7" x14ac:dyDescent="0.25">
      <c r="A69" s="54" t="s">
        <v>1496</v>
      </c>
      <c r="B69" s="85" t="s">
        <v>1479</v>
      </c>
      <c r="C69" s="85" t="s">
        <v>1479</v>
      </c>
      <c r="D69" s="56"/>
      <c r="E69" s="56"/>
      <c r="F69" s="56"/>
      <c r="G69" s="66"/>
    </row>
    <row r="70" spans="1:7" x14ac:dyDescent="0.25">
      <c r="A70" s="54"/>
      <c r="B70" s="86">
        <v>44469</v>
      </c>
      <c r="C70" s="86">
        <v>44651</v>
      </c>
      <c r="D70" s="56"/>
      <c r="E70" s="56"/>
      <c r="F70" s="56"/>
      <c r="G70" s="66"/>
    </row>
    <row r="71" spans="1:7" x14ac:dyDescent="0.25">
      <c r="A71" s="54" t="s">
        <v>1497</v>
      </c>
      <c r="B71" s="56">
        <v>1057.7553</v>
      </c>
      <c r="C71" s="56">
        <v>1076.6231</v>
      </c>
      <c r="D71" s="56"/>
      <c r="E71" s="59"/>
      <c r="F71" s="56"/>
      <c r="G71" s="87"/>
    </row>
    <row r="72" spans="1:7" x14ac:dyDescent="0.25">
      <c r="A72" s="54"/>
      <c r="B72" s="56"/>
      <c r="C72" s="56"/>
      <c r="D72" s="56"/>
      <c r="E72" s="59"/>
      <c r="F72" s="56"/>
      <c r="G72" s="87"/>
    </row>
    <row r="73" spans="1:7" x14ac:dyDescent="0.25">
      <c r="A73" s="54" t="s">
        <v>2006</v>
      </c>
      <c r="B73" s="85" t="s">
        <v>85</v>
      </c>
      <c r="C73" s="56"/>
      <c r="D73" s="56"/>
      <c r="E73" s="56"/>
      <c r="F73" s="56"/>
      <c r="G73" s="66"/>
    </row>
    <row r="74" spans="1:7" x14ac:dyDescent="0.25">
      <c r="A74" s="54" t="s">
        <v>2008</v>
      </c>
      <c r="B74" s="85" t="s">
        <v>85</v>
      </c>
      <c r="C74" s="56"/>
      <c r="D74" s="56"/>
      <c r="E74" s="56"/>
      <c r="F74" s="56"/>
      <c r="G74" s="66"/>
    </row>
    <row r="75" spans="1:7" ht="18" customHeight="1" x14ac:dyDescent="0.25">
      <c r="A75" s="84" t="s">
        <v>2009</v>
      </c>
      <c r="B75" s="85" t="s">
        <v>85</v>
      </c>
      <c r="C75" s="56"/>
      <c r="D75" s="56"/>
      <c r="E75" s="56"/>
      <c r="F75" s="56"/>
      <c r="G75" s="66"/>
    </row>
    <row r="76" spans="1:7" x14ac:dyDescent="0.25">
      <c r="A76" s="84" t="s">
        <v>2010</v>
      </c>
      <c r="B76" s="85" t="s">
        <v>85</v>
      </c>
      <c r="C76" s="56"/>
      <c r="D76" s="56"/>
      <c r="E76" s="56"/>
      <c r="F76" s="56"/>
      <c r="G76" s="66"/>
    </row>
    <row r="77" spans="1:7" x14ac:dyDescent="0.25">
      <c r="A77" s="54" t="s">
        <v>1494</v>
      </c>
      <c r="B77" s="88">
        <v>8.7372334599658341</v>
      </c>
      <c r="C77" s="56"/>
      <c r="D77" s="56"/>
      <c r="E77" s="56"/>
      <c r="F77" s="56"/>
      <c r="G77" s="66"/>
    </row>
    <row r="78" spans="1:7" ht="30" x14ac:dyDescent="0.25">
      <c r="A78" s="84" t="s">
        <v>2011</v>
      </c>
      <c r="B78" s="85" t="s">
        <v>85</v>
      </c>
      <c r="C78" s="56"/>
      <c r="D78" s="56"/>
      <c r="E78" s="56"/>
      <c r="F78" s="56"/>
      <c r="G78" s="66"/>
    </row>
    <row r="79" spans="1:7" ht="30" x14ac:dyDescent="0.25">
      <c r="A79" s="84" t="s">
        <v>1495</v>
      </c>
      <c r="B79" s="85" t="s">
        <v>85</v>
      </c>
      <c r="C79" s="56"/>
      <c r="D79" s="56"/>
      <c r="E79" s="56"/>
      <c r="F79" s="56"/>
      <c r="G79" s="66"/>
    </row>
    <row r="80" spans="1:7" ht="30" x14ac:dyDescent="0.25">
      <c r="A80" s="84" t="s">
        <v>1498</v>
      </c>
      <c r="B80" s="88">
        <v>208722.09</v>
      </c>
      <c r="C80" s="56"/>
      <c r="D80" s="56"/>
      <c r="E80" s="56"/>
      <c r="F80" s="56"/>
      <c r="G80" s="66"/>
    </row>
    <row r="81" spans="1:7" x14ac:dyDescent="0.25">
      <c r="A81" s="54" t="s">
        <v>1609</v>
      </c>
      <c r="B81" s="85" t="s">
        <v>85</v>
      </c>
      <c r="C81" s="56"/>
      <c r="D81" s="56"/>
      <c r="E81" s="56"/>
      <c r="F81" s="56"/>
      <c r="G81" s="66"/>
    </row>
    <row r="82" spans="1:7" x14ac:dyDescent="0.25">
      <c r="A82" s="54" t="s">
        <v>1610</v>
      </c>
      <c r="B82" s="85" t="s">
        <v>85</v>
      </c>
      <c r="C82" s="56"/>
      <c r="D82" s="56"/>
      <c r="E82" s="56"/>
      <c r="F82" s="56"/>
      <c r="G82" s="66"/>
    </row>
    <row r="83" spans="1:7" ht="15.75" thickBot="1" x14ac:dyDescent="0.3">
      <c r="A83" s="89"/>
      <c r="B83" s="90"/>
      <c r="C83" s="90"/>
      <c r="D83" s="90"/>
      <c r="E83" s="90"/>
      <c r="F83" s="90"/>
      <c r="G83" s="91"/>
    </row>
    <row r="86" spans="1:7" ht="30" x14ac:dyDescent="0.25">
      <c r="A86" s="107" t="s">
        <v>2042</v>
      </c>
      <c r="B86" s="108" t="s">
        <v>2043</v>
      </c>
      <c r="C86" s="108" t="s">
        <v>2044</v>
      </c>
      <c r="D86" s="109" t="s">
        <v>2045</v>
      </c>
    </row>
    <row r="87" spans="1:7" ht="56.25" customHeight="1" x14ac:dyDescent="0.25">
      <c r="A87" s="110" t="str">
        <f>HYPERLINK("[EDEL_Portfolio Monthly 28-Feb-2022.xlsx]EDBE31!A1","BHARAT Bond ETF - April 2031")</f>
        <v>BHARAT Bond ETF - April 2031</v>
      </c>
      <c r="B87" s="111"/>
      <c r="C87" s="112" t="s">
        <v>2050</v>
      </c>
      <c r="D87" s="111"/>
    </row>
  </sheetData>
  <mergeCells count="2">
    <mergeCell ref="A3:G3"/>
    <mergeCell ref="A4:G4"/>
  </mergeCells>
  <pageMargins left="0.7" right="0.7" top="0.75" bottom="0.75" header="0.3" footer="0.3"/>
  <pageSetup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3"/>
  <sheetViews>
    <sheetView showGridLines="0" workbookViewId="0">
      <pane ySplit="6" topLeftCell="A7"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17</v>
      </c>
      <c r="B3" s="139"/>
      <c r="C3" s="139"/>
      <c r="D3" s="139"/>
      <c r="E3" s="139"/>
      <c r="F3" s="139"/>
      <c r="G3" s="140"/>
      <c r="H3" s="46" t="str">
        <f>HYPERLINK("[EDEL_Portfolio HY 31032022.xlsx]Index!A1","Index")</f>
        <v>Index</v>
      </c>
    </row>
    <row r="4" spans="1:8" ht="19.5" customHeight="1" x14ac:dyDescent="0.25">
      <c r="A4" s="141" t="s">
        <v>18</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84</v>
      </c>
      <c r="B9" s="31"/>
      <c r="C9" s="31"/>
      <c r="D9" s="14"/>
      <c r="E9" s="52" t="s">
        <v>85</v>
      </c>
      <c r="F9" s="53" t="s">
        <v>85</v>
      </c>
      <c r="G9" s="75"/>
    </row>
    <row r="10" spans="1:8" x14ac:dyDescent="0.25">
      <c r="A10" s="74"/>
      <c r="B10" s="31"/>
      <c r="C10" s="31"/>
      <c r="D10" s="14"/>
      <c r="E10" s="15"/>
      <c r="F10" s="16"/>
      <c r="G10" s="75"/>
    </row>
    <row r="11" spans="1:8" x14ac:dyDescent="0.25">
      <c r="A11" s="76" t="s">
        <v>86</v>
      </c>
      <c r="B11" s="31"/>
      <c r="C11" s="31"/>
      <c r="D11" s="14"/>
      <c r="E11" s="15"/>
      <c r="F11" s="16"/>
      <c r="G11" s="75"/>
    </row>
    <row r="12" spans="1:8" x14ac:dyDescent="0.25">
      <c r="A12" s="76" t="s">
        <v>87</v>
      </c>
      <c r="B12" s="31"/>
      <c r="C12" s="31"/>
      <c r="D12" s="14"/>
      <c r="E12" s="15"/>
      <c r="F12" s="16"/>
      <c r="G12" s="75"/>
    </row>
    <row r="13" spans="1:8" x14ac:dyDescent="0.25">
      <c r="A13" s="74" t="s">
        <v>1776</v>
      </c>
      <c r="B13" s="31" t="s">
        <v>275</v>
      </c>
      <c r="C13" s="31" t="s">
        <v>89</v>
      </c>
      <c r="D13" s="14">
        <v>83700000</v>
      </c>
      <c r="E13" s="15">
        <v>85021.04</v>
      </c>
      <c r="F13" s="16">
        <v>0.13370000000000001</v>
      </c>
      <c r="G13" s="75">
        <v>7.2499999999999995E-2</v>
      </c>
    </row>
    <row r="14" spans="1:8" x14ac:dyDescent="0.25">
      <c r="A14" s="74" t="s">
        <v>1777</v>
      </c>
      <c r="B14" s="31" t="s">
        <v>276</v>
      </c>
      <c r="C14" s="31" t="s">
        <v>121</v>
      </c>
      <c r="D14" s="14">
        <v>82500000</v>
      </c>
      <c r="E14" s="15">
        <v>81180.990000000005</v>
      </c>
      <c r="F14" s="16">
        <v>0.12770000000000001</v>
      </c>
      <c r="G14" s="75">
        <v>6.9637000000000004E-2</v>
      </c>
    </row>
    <row r="15" spans="1:8" x14ac:dyDescent="0.25">
      <c r="A15" s="74" t="s">
        <v>1778</v>
      </c>
      <c r="B15" s="31" t="s">
        <v>277</v>
      </c>
      <c r="C15" s="31" t="s">
        <v>121</v>
      </c>
      <c r="D15" s="14">
        <v>81000000</v>
      </c>
      <c r="E15" s="15">
        <v>80298.38</v>
      </c>
      <c r="F15" s="16">
        <v>0.1263</v>
      </c>
      <c r="G15" s="75">
        <v>6.9900000000000004E-2</v>
      </c>
    </row>
    <row r="16" spans="1:8" x14ac:dyDescent="0.25">
      <c r="A16" s="74" t="s">
        <v>1779</v>
      </c>
      <c r="B16" s="31" t="s">
        <v>278</v>
      </c>
      <c r="C16" s="31" t="s">
        <v>121</v>
      </c>
      <c r="D16" s="14">
        <v>80000000</v>
      </c>
      <c r="E16" s="15">
        <v>79078.559999999998</v>
      </c>
      <c r="F16" s="16">
        <v>0.1244</v>
      </c>
      <c r="G16" s="75">
        <v>7.0810999999999999E-2</v>
      </c>
    </row>
    <row r="17" spans="1:7" x14ac:dyDescent="0.25">
      <c r="A17" s="74" t="s">
        <v>1780</v>
      </c>
      <c r="B17" s="31" t="s">
        <v>279</v>
      </c>
      <c r="C17" s="31" t="s">
        <v>121</v>
      </c>
      <c r="D17" s="14">
        <v>80000000</v>
      </c>
      <c r="E17" s="15">
        <v>78906.960000000006</v>
      </c>
      <c r="F17" s="16">
        <v>0.1241</v>
      </c>
      <c r="G17" s="75">
        <v>7.1149000000000004E-2</v>
      </c>
    </row>
    <row r="18" spans="1:7" x14ac:dyDescent="0.25">
      <c r="A18" s="74" t="s">
        <v>1781</v>
      </c>
      <c r="B18" s="31" t="s">
        <v>280</v>
      </c>
      <c r="C18" s="31" t="s">
        <v>121</v>
      </c>
      <c r="D18" s="14">
        <v>75000000</v>
      </c>
      <c r="E18" s="15">
        <v>74038.28</v>
      </c>
      <c r="F18" s="16">
        <v>0.1164</v>
      </c>
      <c r="G18" s="75">
        <v>7.0550000000000002E-2</v>
      </c>
    </row>
    <row r="19" spans="1:7" x14ac:dyDescent="0.25">
      <c r="A19" s="74" t="s">
        <v>1782</v>
      </c>
      <c r="B19" s="31" t="s">
        <v>281</v>
      </c>
      <c r="C19" s="31" t="s">
        <v>121</v>
      </c>
      <c r="D19" s="14">
        <v>50000000</v>
      </c>
      <c r="E19" s="15">
        <v>49194.8</v>
      </c>
      <c r="F19" s="16">
        <v>7.7399999999999997E-2</v>
      </c>
      <c r="G19" s="75">
        <v>7.0800000000000002E-2</v>
      </c>
    </row>
    <row r="20" spans="1:7" x14ac:dyDescent="0.25">
      <c r="A20" s="74" t="s">
        <v>1783</v>
      </c>
      <c r="B20" s="31" t="s">
        <v>282</v>
      </c>
      <c r="C20" s="31" t="s">
        <v>121</v>
      </c>
      <c r="D20" s="14">
        <v>38000000</v>
      </c>
      <c r="E20" s="15">
        <v>37460.93</v>
      </c>
      <c r="F20" s="16">
        <v>5.8900000000000001E-2</v>
      </c>
      <c r="G20" s="75">
        <v>7.0488999999999996E-2</v>
      </c>
    </row>
    <row r="21" spans="1:7" x14ac:dyDescent="0.25">
      <c r="A21" s="74" t="s">
        <v>1784</v>
      </c>
      <c r="B21" s="31" t="s">
        <v>283</v>
      </c>
      <c r="C21" s="31" t="s">
        <v>121</v>
      </c>
      <c r="D21" s="14">
        <v>10000000</v>
      </c>
      <c r="E21" s="15">
        <v>10207.379999999999</v>
      </c>
      <c r="F21" s="16">
        <v>1.61E-2</v>
      </c>
      <c r="G21" s="75">
        <v>7.0650000000000004E-2</v>
      </c>
    </row>
    <row r="22" spans="1:7" x14ac:dyDescent="0.25">
      <c r="A22" s="74" t="s">
        <v>1785</v>
      </c>
      <c r="B22" s="31" t="s">
        <v>284</v>
      </c>
      <c r="C22" s="31" t="s">
        <v>121</v>
      </c>
      <c r="D22" s="14">
        <v>2500000</v>
      </c>
      <c r="E22" s="15">
        <v>2453.4</v>
      </c>
      <c r="F22" s="16">
        <v>3.8999999999999998E-3</v>
      </c>
      <c r="G22" s="75">
        <v>6.9574999999999998E-2</v>
      </c>
    </row>
    <row r="23" spans="1:7" x14ac:dyDescent="0.25">
      <c r="A23" s="76" t="s">
        <v>90</v>
      </c>
      <c r="B23" s="32"/>
      <c r="C23" s="32"/>
      <c r="D23" s="18"/>
      <c r="E23" s="35">
        <v>577840.72</v>
      </c>
      <c r="F23" s="36">
        <v>0.90890000000000004</v>
      </c>
      <c r="G23" s="77"/>
    </row>
    <row r="24" spans="1:7" x14ac:dyDescent="0.25">
      <c r="A24" s="74"/>
      <c r="B24" s="31"/>
      <c r="C24" s="31"/>
      <c r="D24" s="14"/>
      <c r="E24" s="15"/>
      <c r="F24" s="16"/>
      <c r="G24" s="75"/>
    </row>
    <row r="25" spans="1:7" x14ac:dyDescent="0.25">
      <c r="A25" s="76" t="s">
        <v>195</v>
      </c>
      <c r="B25" s="31"/>
      <c r="C25" s="31"/>
      <c r="D25" s="14"/>
      <c r="E25" s="15"/>
      <c r="F25" s="16"/>
      <c r="G25" s="75"/>
    </row>
    <row r="26" spans="1:7" x14ac:dyDescent="0.25">
      <c r="A26" s="74" t="s">
        <v>1786</v>
      </c>
      <c r="B26" s="31" t="s">
        <v>285</v>
      </c>
      <c r="C26" s="31" t="s">
        <v>197</v>
      </c>
      <c r="D26" s="14">
        <v>44000000</v>
      </c>
      <c r="E26" s="15">
        <v>41772.980000000003</v>
      </c>
      <c r="F26" s="16">
        <v>6.5699999999999995E-2</v>
      </c>
      <c r="G26" s="75">
        <v>6.8439E-2</v>
      </c>
    </row>
    <row r="27" spans="1:7" x14ac:dyDescent="0.25">
      <c r="A27" s="74" t="s">
        <v>1787</v>
      </c>
      <c r="B27" s="31" t="s">
        <v>286</v>
      </c>
      <c r="C27" s="31" t="s">
        <v>197</v>
      </c>
      <c r="D27" s="14">
        <v>3500000</v>
      </c>
      <c r="E27" s="15">
        <v>3430.66</v>
      </c>
      <c r="F27" s="16">
        <v>5.4000000000000003E-3</v>
      </c>
      <c r="G27" s="75">
        <v>6.8186999999999998E-2</v>
      </c>
    </row>
    <row r="28" spans="1:7" x14ac:dyDescent="0.25">
      <c r="A28" s="76" t="s">
        <v>90</v>
      </c>
      <c r="B28" s="32"/>
      <c r="C28" s="32"/>
      <c r="D28" s="18"/>
      <c r="E28" s="35">
        <v>45203.64</v>
      </c>
      <c r="F28" s="36">
        <v>7.1099999999999997E-2</v>
      </c>
      <c r="G28" s="77"/>
    </row>
    <row r="29" spans="1:7" x14ac:dyDescent="0.25">
      <c r="A29" s="74"/>
      <c r="B29" s="31"/>
      <c r="C29" s="31"/>
      <c r="D29" s="14"/>
      <c r="E29" s="15"/>
      <c r="F29" s="16"/>
      <c r="G29" s="75"/>
    </row>
    <row r="30" spans="1:7" x14ac:dyDescent="0.25">
      <c r="A30" s="76" t="s">
        <v>91</v>
      </c>
      <c r="B30" s="31"/>
      <c r="C30" s="31"/>
      <c r="D30" s="14"/>
      <c r="E30" s="15"/>
      <c r="F30" s="16"/>
      <c r="G30" s="75"/>
    </row>
    <row r="31" spans="1:7" x14ac:dyDescent="0.25">
      <c r="A31" s="76" t="s">
        <v>90</v>
      </c>
      <c r="B31" s="31"/>
      <c r="C31" s="31"/>
      <c r="D31" s="14"/>
      <c r="E31" s="37" t="s">
        <v>85</v>
      </c>
      <c r="F31" s="38" t="s">
        <v>85</v>
      </c>
      <c r="G31" s="75"/>
    </row>
    <row r="32" spans="1:7" x14ac:dyDescent="0.25">
      <c r="A32" s="74"/>
      <c r="B32" s="31"/>
      <c r="C32" s="31"/>
      <c r="D32" s="14"/>
      <c r="E32" s="15"/>
      <c r="F32" s="16"/>
      <c r="G32" s="75"/>
    </row>
    <row r="33" spans="1:7" x14ac:dyDescent="0.25">
      <c r="A33" s="76" t="s">
        <v>92</v>
      </c>
      <c r="B33" s="31"/>
      <c r="C33" s="31"/>
      <c r="D33" s="14"/>
      <c r="E33" s="15"/>
      <c r="F33" s="16"/>
      <c r="G33" s="75"/>
    </row>
    <row r="34" spans="1:7" x14ac:dyDescent="0.25">
      <c r="A34" s="76" t="s">
        <v>90</v>
      </c>
      <c r="B34" s="31"/>
      <c r="C34" s="31"/>
      <c r="D34" s="14"/>
      <c r="E34" s="37" t="s">
        <v>85</v>
      </c>
      <c r="F34" s="38" t="s">
        <v>85</v>
      </c>
      <c r="G34" s="75"/>
    </row>
    <row r="35" spans="1:7" x14ac:dyDescent="0.25">
      <c r="A35" s="74"/>
      <c r="B35" s="31"/>
      <c r="C35" s="31"/>
      <c r="D35" s="14"/>
      <c r="E35" s="15"/>
      <c r="F35" s="16"/>
      <c r="G35" s="75"/>
    </row>
    <row r="36" spans="1:7" x14ac:dyDescent="0.25">
      <c r="A36" s="78" t="s">
        <v>93</v>
      </c>
      <c r="B36" s="79"/>
      <c r="C36" s="79"/>
      <c r="D36" s="80"/>
      <c r="E36" s="35">
        <v>623044.36</v>
      </c>
      <c r="F36" s="36">
        <v>0.98</v>
      </c>
      <c r="G36" s="77"/>
    </row>
    <row r="37" spans="1:7" x14ac:dyDescent="0.25">
      <c r="A37" s="74"/>
      <c r="B37" s="31"/>
      <c r="C37" s="31"/>
      <c r="D37" s="14"/>
      <c r="E37" s="15"/>
      <c r="F37" s="16"/>
      <c r="G37" s="75"/>
    </row>
    <row r="38" spans="1:7" x14ac:dyDescent="0.25">
      <c r="A38" s="74"/>
      <c r="B38" s="31"/>
      <c r="C38" s="31"/>
      <c r="D38" s="14"/>
      <c r="E38" s="15"/>
      <c r="F38" s="16"/>
      <c r="G38" s="75"/>
    </row>
    <row r="39" spans="1:7" x14ac:dyDescent="0.25">
      <c r="A39" s="76" t="s">
        <v>110</v>
      </c>
      <c r="B39" s="31"/>
      <c r="C39" s="31"/>
      <c r="D39" s="14"/>
      <c r="E39" s="15"/>
      <c r="F39" s="16"/>
      <c r="G39" s="75"/>
    </row>
    <row r="40" spans="1:7" x14ac:dyDescent="0.25">
      <c r="A40" s="74" t="s">
        <v>111</v>
      </c>
      <c r="B40" s="31"/>
      <c r="C40" s="31"/>
      <c r="D40" s="14"/>
      <c r="E40" s="15">
        <v>4523.2299999999996</v>
      </c>
      <c r="F40" s="16">
        <v>7.1000000000000004E-3</v>
      </c>
      <c r="G40" s="75">
        <v>3.5790000000000002E-2</v>
      </c>
    </row>
    <row r="41" spans="1:7" x14ac:dyDescent="0.25">
      <c r="A41" s="76" t="s">
        <v>90</v>
      </c>
      <c r="B41" s="32"/>
      <c r="C41" s="32"/>
      <c r="D41" s="18"/>
      <c r="E41" s="35">
        <v>4523.2299999999996</v>
      </c>
      <c r="F41" s="36">
        <v>7.1000000000000004E-3</v>
      </c>
      <c r="G41" s="77"/>
    </row>
    <row r="42" spans="1:7" x14ac:dyDescent="0.25">
      <c r="A42" s="74"/>
      <c r="B42" s="31"/>
      <c r="C42" s="31"/>
      <c r="D42" s="14"/>
      <c r="E42" s="15"/>
      <c r="F42" s="16"/>
      <c r="G42" s="75"/>
    </row>
    <row r="43" spans="1:7" x14ac:dyDescent="0.25">
      <c r="A43" s="78" t="s">
        <v>93</v>
      </c>
      <c r="B43" s="79"/>
      <c r="C43" s="79"/>
      <c r="D43" s="80"/>
      <c r="E43" s="35">
        <v>4523.2299999999996</v>
      </c>
      <c r="F43" s="36">
        <v>7.1000000000000004E-3</v>
      </c>
      <c r="G43" s="77"/>
    </row>
    <row r="44" spans="1:7" x14ac:dyDescent="0.25">
      <c r="A44" s="74" t="s">
        <v>112</v>
      </c>
      <c r="B44" s="31"/>
      <c r="C44" s="31"/>
      <c r="D44" s="14"/>
      <c r="E44" s="15">
        <v>10603.747187000001</v>
      </c>
      <c r="F44" s="16">
        <v>1.6674999999999999E-2</v>
      </c>
      <c r="G44" s="75"/>
    </row>
    <row r="45" spans="1:7" x14ac:dyDescent="0.25">
      <c r="A45" s="74" t="s">
        <v>113</v>
      </c>
      <c r="B45" s="31"/>
      <c r="C45" s="31"/>
      <c r="D45" s="14"/>
      <c r="E45" s="24">
        <v>-2278.0671870000001</v>
      </c>
      <c r="F45" s="25">
        <v>-3.7750000000000001E-3</v>
      </c>
      <c r="G45" s="75">
        <v>3.5790000000000002E-2</v>
      </c>
    </row>
    <row r="46" spans="1:7" x14ac:dyDescent="0.25">
      <c r="A46" s="81" t="s">
        <v>114</v>
      </c>
      <c r="B46" s="34"/>
      <c r="C46" s="34"/>
      <c r="D46" s="27"/>
      <c r="E46" s="28">
        <v>635893.27</v>
      </c>
      <c r="F46" s="29">
        <v>1</v>
      </c>
      <c r="G46" s="82"/>
    </row>
    <row r="47" spans="1:7" x14ac:dyDescent="0.25">
      <c r="A47" s="54"/>
      <c r="B47" s="56"/>
      <c r="C47" s="56"/>
      <c r="D47" s="56"/>
      <c r="E47" s="56"/>
      <c r="F47" s="56"/>
      <c r="G47" s="66"/>
    </row>
    <row r="48" spans="1:7" x14ac:dyDescent="0.25">
      <c r="A48" s="83" t="s">
        <v>116</v>
      </c>
      <c r="B48" s="56"/>
      <c r="C48" s="56"/>
      <c r="D48" s="56"/>
      <c r="E48" s="56"/>
      <c r="F48" s="56"/>
      <c r="G48" s="66"/>
    </row>
    <row r="49" spans="1:7" x14ac:dyDescent="0.25">
      <c r="A49" s="54"/>
      <c r="B49" s="56"/>
      <c r="C49" s="56"/>
      <c r="D49" s="56"/>
      <c r="E49" s="56"/>
      <c r="F49" s="56"/>
      <c r="G49" s="66"/>
    </row>
    <row r="50" spans="1:7" x14ac:dyDescent="0.25">
      <c r="A50" s="54"/>
      <c r="B50" s="56"/>
      <c r="C50" s="56"/>
      <c r="D50" s="56"/>
      <c r="E50" s="56"/>
      <c r="F50" s="56"/>
      <c r="G50" s="66"/>
    </row>
    <row r="51" spans="1:7" x14ac:dyDescent="0.25">
      <c r="A51" s="83" t="s">
        <v>1476</v>
      </c>
      <c r="B51" s="56"/>
      <c r="C51" s="56"/>
      <c r="D51" s="56"/>
      <c r="E51" s="56"/>
      <c r="F51" s="56"/>
      <c r="G51" s="66"/>
    </row>
    <row r="52" spans="1:7" x14ac:dyDescent="0.25">
      <c r="A52" s="84" t="s">
        <v>1477</v>
      </c>
      <c r="B52" s="85" t="s">
        <v>85</v>
      </c>
      <c r="C52" s="56"/>
      <c r="D52" s="56"/>
      <c r="E52" s="56"/>
      <c r="F52" s="56"/>
      <c r="G52" s="66"/>
    </row>
    <row r="53" spans="1:7" x14ac:dyDescent="0.25">
      <c r="A53" s="54" t="s">
        <v>1626</v>
      </c>
      <c r="B53" s="56"/>
      <c r="C53" s="56"/>
      <c r="D53" s="56"/>
      <c r="E53" s="56"/>
      <c r="F53" s="56"/>
      <c r="G53" s="66"/>
    </row>
    <row r="54" spans="1:7" x14ac:dyDescent="0.25">
      <c r="A54" s="54" t="s">
        <v>1496</v>
      </c>
      <c r="B54" s="85" t="s">
        <v>1479</v>
      </c>
      <c r="C54" s="85" t="s">
        <v>1479</v>
      </c>
      <c r="D54" s="56"/>
      <c r="E54" s="56"/>
      <c r="F54" s="56"/>
      <c r="G54" s="66"/>
    </row>
    <row r="55" spans="1:7" x14ac:dyDescent="0.25">
      <c r="A55" s="54"/>
      <c r="B55" s="86">
        <v>44469</v>
      </c>
      <c r="C55" s="86">
        <v>44651</v>
      </c>
      <c r="D55" s="56"/>
      <c r="E55" s="56"/>
      <c r="F55" s="56"/>
      <c r="G55" s="66"/>
    </row>
    <row r="56" spans="1:7" x14ac:dyDescent="0.25">
      <c r="A56" s="54" t="s">
        <v>1497</v>
      </c>
      <c r="B56" s="85" t="s">
        <v>2013</v>
      </c>
      <c r="C56" s="56">
        <v>1010.1328</v>
      </c>
      <c r="D56" s="56"/>
      <c r="E56" s="59"/>
      <c r="F56" s="56"/>
      <c r="G56" s="87"/>
    </row>
    <row r="57" spans="1:7" x14ac:dyDescent="0.25">
      <c r="A57" s="54" t="s">
        <v>2014</v>
      </c>
      <c r="B57" s="85"/>
      <c r="C57" s="56"/>
      <c r="D57" s="56"/>
      <c r="E57" s="59"/>
      <c r="F57" s="56"/>
      <c r="G57" s="87"/>
    </row>
    <row r="58" spans="1:7" x14ac:dyDescent="0.25">
      <c r="A58" s="54"/>
      <c r="B58" s="56"/>
      <c r="C58" s="56"/>
      <c r="D58" s="56"/>
      <c r="E58" s="59"/>
      <c r="F58" s="56"/>
      <c r="G58" s="87"/>
    </row>
    <row r="59" spans="1:7" x14ac:dyDescent="0.25">
      <c r="A59" s="54" t="s">
        <v>2006</v>
      </c>
      <c r="B59" s="85" t="s">
        <v>85</v>
      </c>
      <c r="C59" s="56"/>
      <c r="D59" s="56"/>
      <c r="E59" s="56"/>
      <c r="F59" s="56"/>
      <c r="G59" s="66"/>
    </row>
    <row r="60" spans="1:7" x14ac:dyDescent="0.25">
      <c r="A60" s="54" t="s">
        <v>2008</v>
      </c>
      <c r="B60" s="85" t="s">
        <v>85</v>
      </c>
      <c r="C60" s="56"/>
      <c r="D60" s="56"/>
      <c r="E60" s="56"/>
      <c r="F60" s="56"/>
      <c r="G60" s="66"/>
    </row>
    <row r="61" spans="1:7" ht="16.5" customHeight="1" x14ac:dyDescent="0.25">
      <c r="A61" s="84" t="s">
        <v>2009</v>
      </c>
      <c r="B61" s="85" t="s">
        <v>85</v>
      </c>
      <c r="C61" s="56"/>
      <c r="D61" s="56"/>
      <c r="E61" s="56"/>
      <c r="F61" s="56"/>
      <c r="G61" s="66"/>
    </row>
    <row r="62" spans="1:7" x14ac:dyDescent="0.25">
      <c r="A62" s="84" t="s">
        <v>2010</v>
      </c>
      <c r="B62" s="85" t="s">
        <v>85</v>
      </c>
      <c r="C62" s="56"/>
      <c r="D62" s="56"/>
      <c r="E62" s="56"/>
      <c r="F62" s="56"/>
      <c r="G62" s="66"/>
    </row>
    <row r="63" spans="1:7" x14ac:dyDescent="0.25">
      <c r="A63" s="54" t="s">
        <v>1494</v>
      </c>
      <c r="B63" s="88">
        <v>9.7710749999999997</v>
      </c>
      <c r="C63" s="56"/>
      <c r="D63" s="56"/>
      <c r="E63" s="56"/>
      <c r="F63" s="56"/>
      <c r="G63" s="66"/>
    </row>
    <row r="64" spans="1:7" ht="30" x14ac:dyDescent="0.25">
      <c r="A64" s="84" t="s">
        <v>2011</v>
      </c>
      <c r="B64" s="85" t="s">
        <v>85</v>
      </c>
      <c r="C64" s="56"/>
      <c r="D64" s="56"/>
      <c r="E64" s="56"/>
      <c r="F64" s="56"/>
      <c r="G64" s="66"/>
    </row>
    <row r="65" spans="1:7" ht="30" x14ac:dyDescent="0.25">
      <c r="A65" s="84" t="s">
        <v>1495</v>
      </c>
      <c r="B65" s="85" t="s">
        <v>85</v>
      </c>
      <c r="C65" s="56"/>
      <c r="D65" s="56"/>
      <c r="E65" s="56"/>
      <c r="F65" s="56"/>
      <c r="G65" s="66"/>
    </row>
    <row r="66" spans="1:7" ht="30" x14ac:dyDescent="0.25">
      <c r="A66" s="84" t="s">
        <v>1498</v>
      </c>
      <c r="B66" s="88">
        <v>56184.87</v>
      </c>
      <c r="C66" s="56"/>
      <c r="D66" s="56"/>
      <c r="E66" s="56"/>
      <c r="F66" s="56"/>
      <c r="G66" s="66"/>
    </row>
    <row r="67" spans="1:7" x14ac:dyDescent="0.25">
      <c r="A67" s="54" t="s">
        <v>1609</v>
      </c>
      <c r="B67" s="85" t="s">
        <v>85</v>
      </c>
      <c r="C67" s="56"/>
      <c r="D67" s="56"/>
      <c r="E67" s="56"/>
      <c r="F67" s="56"/>
      <c r="G67" s="66"/>
    </row>
    <row r="68" spans="1:7" x14ac:dyDescent="0.25">
      <c r="A68" s="54" t="s">
        <v>1610</v>
      </c>
      <c r="B68" s="85" t="s">
        <v>85</v>
      </c>
      <c r="C68" s="56"/>
      <c r="D68" s="56"/>
      <c r="E68" s="56"/>
      <c r="F68" s="56"/>
      <c r="G68" s="66"/>
    </row>
    <row r="69" spans="1:7" ht="15.75" thickBot="1" x14ac:dyDescent="0.3">
      <c r="A69" s="89"/>
      <c r="B69" s="90"/>
      <c r="C69" s="90"/>
      <c r="D69" s="90"/>
      <c r="E69" s="90"/>
      <c r="F69" s="90"/>
      <c r="G69" s="91"/>
    </row>
    <row r="72" spans="1:7" ht="30" x14ac:dyDescent="0.25">
      <c r="A72" s="107" t="s">
        <v>2042</v>
      </c>
      <c r="B72" s="108" t="s">
        <v>2043</v>
      </c>
      <c r="C72" s="108" t="s">
        <v>2044</v>
      </c>
      <c r="D72" s="109" t="s">
        <v>2045</v>
      </c>
    </row>
    <row r="73" spans="1:7" ht="52.5" customHeight="1" x14ac:dyDescent="0.25">
      <c r="A73" s="110" t="str">
        <f>HYPERLINK("[EDEL_Portfolio Monthly 28-Feb-2022.xlsx]EDBE32!A1","BHARAT Bond ETF - April 2032")</f>
        <v>BHARAT Bond ETF - April 2032</v>
      </c>
      <c r="B73" s="114"/>
      <c r="C73" s="112" t="s">
        <v>2051</v>
      </c>
      <c r="D73" s="114"/>
    </row>
  </sheetData>
  <mergeCells count="2">
    <mergeCell ref="A3:G3"/>
    <mergeCell ref="A4:G4"/>
  </mergeCells>
  <pageMargins left="0.7" right="0.7" top="0.75" bottom="0.75" header="0.3" footer="0.3"/>
  <pageSetup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0"/>
  <sheetViews>
    <sheetView showGridLines="0" workbookViewId="0">
      <pane ySplit="6" topLeftCell="A104"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19</v>
      </c>
      <c r="B3" s="139"/>
      <c r="C3" s="139"/>
      <c r="D3" s="139"/>
      <c r="E3" s="139"/>
      <c r="F3" s="139"/>
      <c r="G3" s="140"/>
      <c r="H3" s="46" t="str">
        <f>HYPERLINK("[EDEL_Portfolio HY 31032022.xlsx]Index!A1","Index")</f>
        <v>Index</v>
      </c>
    </row>
    <row r="4" spans="1:8" ht="19.5" customHeight="1" x14ac:dyDescent="0.25">
      <c r="A4" s="141" t="s">
        <v>20</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84</v>
      </c>
      <c r="B9" s="31"/>
      <c r="C9" s="31"/>
      <c r="D9" s="14"/>
      <c r="E9" s="52" t="s">
        <v>85</v>
      </c>
      <c r="F9" s="53" t="s">
        <v>85</v>
      </c>
      <c r="G9" s="75"/>
    </row>
    <row r="10" spans="1:8" x14ac:dyDescent="0.25">
      <c r="A10" s="74"/>
      <c r="B10" s="31"/>
      <c r="C10" s="31"/>
      <c r="D10" s="14"/>
      <c r="E10" s="15"/>
      <c r="F10" s="16"/>
      <c r="G10" s="75"/>
    </row>
    <row r="11" spans="1:8" x14ac:dyDescent="0.25">
      <c r="A11" s="76" t="s">
        <v>86</v>
      </c>
      <c r="B11" s="31"/>
      <c r="C11" s="31"/>
      <c r="D11" s="14"/>
      <c r="E11" s="15"/>
      <c r="F11" s="16"/>
      <c r="G11" s="75"/>
    </row>
    <row r="12" spans="1:8" x14ac:dyDescent="0.25">
      <c r="A12" s="76" t="s">
        <v>87</v>
      </c>
      <c r="B12" s="31"/>
      <c r="C12" s="31"/>
      <c r="D12" s="14"/>
      <c r="E12" s="15"/>
      <c r="F12" s="16"/>
      <c r="G12" s="75"/>
    </row>
    <row r="13" spans="1:8" x14ac:dyDescent="0.25">
      <c r="A13" s="74" t="s">
        <v>1788</v>
      </c>
      <c r="B13" s="31" t="s">
        <v>287</v>
      </c>
      <c r="C13" s="31" t="s">
        <v>118</v>
      </c>
      <c r="D13" s="14">
        <v>3000000</v>
      </c>
      <c r="E13" s="15">
        <v>3257.39</v>
      </c>
      <c r="F13" s="16">
        <v>7.6200000000000004E-2</v>
      </c>
      <c r="G13" s="75">
        <v>6.9149000000000002E-2</v>
      </c>
    </row>
    <row r="14" spans="1:8" x14ac:dyDescent="0.25">
      <c r="A14" s="74" t="s">
        <v>1789</v>
      </c>
      <c r="B14" s="31" t="s">
        <v>288</v>
      </c>
      <c r="C14" s="31" t="s">
        <v>121</v>
      </c>
      <c r="D14" s="14">
        <v>3000000</v>
      </c>
      <c r="E14" s="15">
        <v>3229.29</v>
      </c>
      <c r="F14" s="16">
        <v>7.5600000000000001E-2</v>
      </c>
      <c r="G14" s="75">
        <v>6.9584999999999994E-2</v>
      </c>
    </row>
    <row r="15" spans="1:8" x14ac:dyDescent="0.25">
      <c r="A15" s="74" t="s">
        <v>1711</v>
      </c>
      <c r="B15" s="31" t="s">
        <v>206</v>
      </c>
      <c r="C15" s="31" t="s">
        <v>146</v>
      </c>
      <c r="D15" s="14">
        <v>3000000</v>
      </c>
      <c r="E15" s="15">
        <v>3098.79</v>
      </c>
      <c r="F15" s="16">
        <v>7.2499999999999995E-2</v>
      </c>
      <c r="G15" s="75">
        <v>6.8274000000000001E-2</v>
      </c>
    </row>
    <row r="16" spans="1:8" x14ac:dyDescent="0.25">
      <c r="A16" s="74" t="s">
        <v>1719</v>
      </c>
      <c r="B16" s="31" t="s">
        <v>214</v>
      </c>
      <c r="C16" s="31" t="s">
        <v>121</v>
      </c>
      <c r="D16" s="14">
        <v>3000000</v>
      </c>
      <c r="E16" s="15">
        <v>3096.3</v>
      </c>
      <c r="F16" s="16">
        <v>7.2499999999999995E-2</v>
      </c>
      <c r="G16" s="75">
        <v>6.9137000000000004E-2</v>
      </c>
    </row>
    <row r="17" spans="1:7" x14ac:dyDescent="0.25">
      <c r="A17" s="74" t="s">
        <v>1790</v>
      </c>
      <c r="B17" s="31" t="s">
        <v>289</v>
      </c>
      <c r="C17" s="31" t="s">
        <v>121</v>
      </c>
      <c r="D17" s="14">
        <v>2500000</v>
      </c>
      <c r="E17" s="15">
        <v>2690.64</v>
      </c>
      <c r="F17" s="16">
        <v>6.3E-2</v>
      </c>
      <c r="G17" s="75">
        <v>6.8500000000000005E-2</v>
      </c>
    </row>
    <row r="18" spans="1:7" x14ac:dyDescent="0.25">
      <c r="A18" s="74" t="s">
        <v>1729</v>
      </c>
      <c r="B18" s="31" t="s">
        <v>226</v>
      </c>
      <c r="C18" s="31" t="s">
        <v>121</v>
      </c>
      <c r="D18" s="14">
        <v>1850000</v>
      </c>
      <c r="E18" s="15">
        <v>2035.07</v>
      </c>
      <c r="F18" s="16">
        <v>4.7600000000000003E-2</v>
      </c>
      <c r="G18" s="75">
        <v>7.0000000000000007E-2</v>
      </c>
    </row>
    <row r="19" spans="1:7" x14ac:dyDescent="0.25">
      <c r="A19" s="74" t="s">
        <v>1703</v>
      </c>
      <c r="B19" s="31" t="s">
        <v>198</v>
      </c>
      <c r="C19" s="31" t="s">
        <v>121</v>
      </c>
      <c r="D19" s="14">
        <v>1990000</v>
      </c>
      <c r="E19" s="15">
        <v>1995.31</v>
      </c>
      <c r="F19" s="16">
        <v>4.6699999999999998E-2</v>
      </c>
      <c r="G19" s="75">
        <v>6.9849999999999995E-2</v>
      </c>
    </row>
    <row r="20" spans="1:7" x14ac:dyDescent="0.25">
      <c r="A20" s="74" t="s">
        <v>1723</v>
      </c>
      <c r="B20" s="31" t="s">
        <v>219</v>
      </c>
      <c r="C20" s="31" t="s">
        <v>220</v>
      </c>
      <c r="D20" s="14">
        <v>1900000</v>
      </c>
      <c r="E20" s="15">
        <v>1962.75</v>
      </c>
      <c r="F20" s="16">
        <v>4.5900000000000003E-2</v>
      </c>
      <c r="G20" s="75">
        <v>7.0598999999999995E-2</v>
      </c>
    </row>
    <row r="21" spans="1:7" x14ac:dyDescent="0.25">
      <c r="A21" s="74" t="s">
        <v>1733</v>
      </c>
      <c r="B21" s="31" t="s">
        <v>231</v>
      </c>
      <c r="C21" s="31" t="s">
        <v>121</v>
      </c>
      <c r="D21" s="14">
        <v>1500000</v>
      </c>
      <c r="E21" s="15">
        <v>1653.41</v>
      </c>
      <c r="F21" s="16">
        <v>3.8699999999999998E-2</v>
      </c>
      <c r="G21" s="75">
        <v>6.9775000000000004E-2</v>
      </c>
    </row>
    <row r="22" spans="1:7" x14ac:dyDescent="0.25">
      <c r="A22" s="74" t="s">
        <v>1716</v>
      </c>
      <c r="B22" s="31" t="s">
        <v>211</v>
      </c>
      <c r="C22" s="31" t="s">
        <v>121</v>
      </c>
      <c r="D22" s="14">
        <v>1300000</v>
      </c>
      <c r="E22" s="15">
        <v>1342.29</v>
      </c>
      <c r="F22" s="16">
        <v>3.1399999999999997E-2</v>
      </c>
      <c r="G22" s="75">
        <v>6.9000000000000006E-2</v>
      </c>
    </row>
    <row r="23" spans="1:7" x14ac:dyDescent="0.25">
      <c r="A23" s="74" t="s">
        <v>1791</v>
      </c>
      <c r="B23" s="31" t="s">
        <v>290</v>
      </c>
      <c r="C23" s="31" t="s">
        <v>121</v>
      </c>
      <c r="D23" s="14">
        <v>1000000</v>
      </c>
      <c r="E23" s="15">
        <v>1113.24</v>
      </c>
      <c r="F23" s="16">
        <v>2.6100000000000002E-2</v>
      </c>
      <c r="G23" s="75">
        <v>6.855E-2</v>
      </c>
    </row>
    <row r="24" spans="1:7" x14ac:dyDescent="0.25">
      <c r="A24" s="74" t="s">
        <v>1792</v>
      </c>
      <c r="B24" s="31" t="s">
        <v>291</v>
      </c>
      <c r="C24" s="31" t="s">
        <v>121</v>
      </c>
      <c r="D24" s="14">
        <v>1000000</v>
      </c>
      <c r="E24" s="15">
        <v>1082.3499999999999</v>
      </c>
      <c r="F24" s="16">
        <v>2.53E-2</v>
      </c>
      <c r="G24" s="75">
        <v>7.0150000000000004E-2</v>
      </c>
    </row>
    <row r="25" spans="1:7" x14ac:dyDescent="0.25">
      <c r="A25" s="74" t="s">
        <v>1793</v>
      </c>
      <c r="B25" s="31" t="s">
        <v>292</v>
      </c>
      <c r="C25" s="31" t="s">
        <v>121</v>
      </c>
      <c r="D25" s="14">
        <v>1000000</v>
      </c>
      <c r="E25" s="15">
        <v>1076.5899999999999</v>
      </c>
      <c r="F25" s="16">
        <v>2.52E-2</v>
      </c>
      <c r="G25" s="75">
        <v>7.1199999999999999E-2</v>
      </c>
    </row>
    <row r="26" spans="1:7" x14ac:dyDescent="0.25">
      <c r="A26" s="74" t="s">
        <v>1794</v>
      </c>
      <c r="B26" s="31" t="s">
        <v>293</v>
      </c>
      <c r="C26" s="31" t="s">
        <v>89</v>
      </c>
      <c r="D26" s="14">
        <v>1000000</v>
      </c>
      <c r="E26" s="15">
        <v>1075.67</v>
      </c>
      <c r="F26" s="16">
        <v>2.52E-2</v>
      </c>
      <c r="G26" s="75">
        <v>6.8538000000000002E-2</v>
      </c>
    </row>
    <row r="27" spans="1:7" x14ac:dyDescent="0.25">
      <c r="A27" s="74" t="s">
        <v>1795</v>
      </c>
      <c r="B27" s="31" t="s">
        <v>294</v>
      </c>
      <c r="C27" s="31" t="s">
        <v>121</v>
      </c>
      <c r="D27" s="14">
        <v>1000000</v>
      </c>
      <c r="E27" s="15">
        <v>1073.97</v>
      </c>
      <c r="F27" s="16">
        <v>2.5100000000000001E-2</v>
      </c>
      <c r="G27" s="75">
        <v>6.9000000000000006E-2</v>
      </c>
    </row>
    <row r="28" spans="1:7" x14ac:dyDescent="0.25">
      <c r="A28" s="74" t="s">
        <v>1796</v>
      </c>
      <c r="B28" s="31" t="s">
        <v>295</v>
      </c>
      <c r="C28" s="31" t="s">
        <v>121</v>
      </c>
      <c r="D28" s="14">
        <v>1000000</v>
      </c>
      <c r="E28" s="15">
        <v>1073.03</v>
      </c>
      <c r="F28" s="16">
        <v>2.5100000000000001E-2</v>
      </c>
      <c r="G28" s="75">
        <v>6.9152000000000005E-2</v>
      </c>
    </row>
    <row r="29" spans="1:7" x14ac:dyDescent="0.25">
      <c r="A29" s="74" t="s">
        <v>1722</v>
      </c>
      <c r="B29" s="31" t="s">
        <v>218</v>
      </c>
      <c r="C29" s="31" t="s">
        <v>118</v>
      </c>
      <c r="D29" s="14">
        <v>1000000</v>
      </c>
      <c r="E29" s="15">
        <v>1063.19</v>
      </c>
      <c r="F29" s="16">
        <v>2.4899999999999999E-2</v>
      </c>
      <c r="G29" s="75">
        <v>6.9338999999999998E-2</v>
      </c>
    </row>
    <row r="30" spans="1:7" x14ac:dyDescent="0.25">
      <c r="A30" s="74" t="s">
        <v>1742</v>
      </c>
      <c r="B30" s="31" t="s">
        <v>241</v>
      </c>
      <c r="C30" s="31" t="s">
        <v>121</v>
      </c>
      <c r="D30" s="14">
        <v>1000000</v>
      </c>
      <c r="E30" s="15">
        <v>1027.17</v>
      </c>
      <c r="F30" s="16">
        <v>2.4E-2</v>
      </c>
      <c r="G30" s="75">
        <v>6.8449999999999997E-2</v>
      </c>
    </row>
    <row r="31" spans="1:7" x14ac:dyDescent="0.25">
      <c r="A31" s="74" t="s">
        <v>1704</v>
      </c>
      <c r="B31" s="31" t="s">
        <v>199</v>
      </c>
      <c r="C31" s="31" t="s">
        <v>121</v>
      </c>
      <c r="D31" s="14">
        <v>1000000</v>
      </c>
      <c r="E31" s="15">
        <v>1022.09</v>
      </c>
      <c r="F31" s="16">
        <v>2.3900000000000001E-2</v>
      </c>
      <c r="G31" s="75">
        <v>7.0324999999999999E-2</v>
      </c>
    </row>
    <row r="32" spans="1:7" x14ac:dyDescent="0.25">
      <c r="A32" s="74" t="s">
        <v>1713</v>
      </c>
      <c r="B32" s="31" t="s">
        <v>208</v>
      </c>
      <c r="C32" s="31" t="s">
        <v>121</v>
      </c>
      <c r="D32" s="14">
        <v>800000</v>
      </c>
      <c r="E32" s="15">
        <v>821.04</v>
      </c>
      <c r="F32" s="16">
        <v>1.9199999999999998E-2</v>
      </c>
      <c r="G32" s="75">
        <v>7.0515999999999995E-2</v>
      </c>
    </row>
    <row r="33" spans="1:7" x14ac:dyDescent="0.25">
      <c r="A33" s="74" t="s">
        <v>1797</v>
      </c>
      <c r="B33" s="31" t="s">
        <v>296</v>
      </c>
      <c r="C33" s="31" t="s">
        <v>220</v>
      </c>
      <c r="D33" s="14">
        <v>500000</v>
      </c>
      <c r="E33" s="15">
        <v>550.23</v>
      </c>
      <c r="F33" s="16">
        <v>1.29E-2</v>
      </c>
      <c r="G33" s="75">
        <v>7.0598999999999995E-2</v>
      </c>
    </row>
    <row r="34" spans="1:7" x14ac:dyDescent="0.25">
      <c r="A34" s="74" t="s">
        <v>1798</v>
      </c>
      <c r="B34" s="31" t="s">
        <v>297</v>
      </c>
      <c r="C34" s="31" t="s">
        <v>121</v>
      </c>
      <c r="D34" s="14">
        <v>500000</v>
      </c>
      <c r="E34" s="15">
        <v>547.11</v>
      </c>
      <c r="F34" s="16">
        <v>1.2800000000000001E-2</v>
      </c>
      <c r="G34" s="75">
        <v>6.9150000000000003E-2</v>
      </c>
    </row>
    <row r="35" spans="1:7" x14ac:dyDescent="0.25">
      <c r="A35" s="74" t="s">
        <v>1712</v>
      </c>
      <c r="B35" s="31" t="s">
        <v>207</v>
      </c>
      <c r="C35" s="31" t="s">
        <v>121</v>
      </c>
      <c r="D35" s="14">
        <v>500000</v>
      </c>
      <c r="E35" s="15">
        <v>522.39</v>
      </c>
      <c r="F35" s="16">
        <v>1.2200000000000001E-2</v>
      </c>
      <c r="G35" s="75">
        <v>6.9000000000000006E-2</v>
      </c>
    </row>
    <row r="36" spans="1:7" x14ac:dyDescent="0.25">
      <c r="A36" s="74" t="s">
        <v>1799</v>
      </c>
      <c r="B36" s="31" t="s">
        <v>298</v>
      </c>
      <c r="C36" s="31" t="s">
        <v>121</v>
      </c>
      <c r="D36" s="14">
        <v>120000</v>
      </c>
      <c r="E36" s="15">
        <v>134.08000000000001</v>
      </c>
      <c r="F36" s="16">
        <v>3.0999999999999999E-3</v>
      </c>
      <c r="G36" s="75">
        <v>6.9946999999999995E-2</v>
      </c>
    </row>
    <row r="37" spans="1:7" x14ac:dyDescent="0.25">
      <c r="A37" s="74" t="s">
        <v>1800</v>
      </c>
      <c r="B37" s="31" t="s">
        <v>299</v>
      </c>
      <c r="C37" s="31" t="s">
        <v>121</v>
      </c>
      <c r="D37" s="14">
        <v>10000</v>
      </c>
      <c r="E37" s="15">
        <v>10.83</v>
      </c>
      <c r="F37" s="16">
        <v>2.9999999999999997E-4</v>
      </c>
      <c r="G37" s="75">
        <v>7.1550000000000002E-2</v>
      </c>
    </row>
    <row r="38" spans="1:7" x14ac:dyDescent="0.25">
      <c r="A38" s="76" t="s">
        <v>90</v>
      </c>
      <c r="B38" s="32"/>
      <c r="C38" s="32"/>
      <c r="D38" s="18"/>
      <c r="E38" s="35">
        <v>36554.22</v>
      </c>
      <c r="F38" s="36">
        <v>0.85540000000000005</v>
      </c>
      <c r="G38" s="77"/>
    </row>
    <row r="39" spans="1:7" x14ac:dyDescent="0.25">
      <c r="A39" s="74"/>
      <c r="B39" s="31"/>
      <c r="C39" s="31"/>
      <c r="D39" s="14"/>
      <c r="E39" s="15"/>
      <c r="F39" s="16"/>
      <c r="G39" s="75"/>
    </row>
    <row r="40" spans="1:7" x14ac:dyDescent="0.25">
      <c r="A40" s="76" t="s">
        <v>195</v>
      </c>
      <c r="B40" s="31"/>
      <c r="C40" s="31"/>
      <c r="D40" s="14"/>
      <c r="E40" s="15"/>
      <c r="F40" s="16"/>
      <c r="G40" s="75"/>
    </row>
    <row r="41" spans="1:7" x14ac:dyDescent="0.25">
      <c r="A41" s="74" t="s">
        <v>1749</v>
      </c>
      <c r="B41" s="31" t="s">
        <v>245</v>
      </c>
      <c r="C41" s="31" t="s">
        <v>197</v>
      </c>
      <c r="D41" s="14">
        <v>2500000</v>
      </c>
      <c r="E41" s="15">
        <v>2500.63</v>
      </c>
      <c r="F41" s="16">
        <v>5.8500000000000003E-2</v>
      </c>
      <c r="G41" s="75">
        <v>6.7834000000000005E-2</v>
      </c>
    </row>
    <row r="42" spans="1:7" x14ac:dyDescent="0.25">
      <c r="A42" s="74" t="s">
        <v>1747</v>
      </c>
      <c r="B42" s="31" t="s">
        <v>243</v>
      </c>
      <c r="C42" s="31" t="s">
        <v>197</v>
      </c>
      <c r="D42" s="14">
        <v>1000000</v>
      </c>
      <c r="E42" s="15">
        <v>980.06</v>
      </c>
      <c r="F42" s="16">
        <v>2.29E-2</v>
      </c>
      <c r="G42" s="75">
        <v>6.7928000000000002E-2</v>
      </c>
    </row>
    <row r="43" spans="1:7" x14ac:dyDescent="0.25">
      <c r="A43" s="76" t="s">
        <v>90</v>
      </c>
      <c r="B43" s="32"/>
      <c r="C43" s="32"/>
      <c r="D43" s="18"/>
      <c r="E43" s="35">
        <v>3480.69</v>
      </c>
      <c r="F43" s="36">
        <v>8.14E-2</v>
      </c>
      <c r="G43" s="77"/>
    </row>
    <row r="44" spans="1:7" x14ac:dyDescent="0.25">
      <c r="A44" s="74"/>
      <c r="B44" s="31"/>
      <c r="C44" s="31"/>
      <c r="D44" s="14"/>
      <c r="E44" s="15"/>
      <c r="F44" s="16"/>
      <c r="G44" s="75"/>
    </row>
    <row r="45" spans="1:7" x14ac:dyDescent="0.25">
      <c r="A45" s="76" t="s">
        <v>91</v>
      </c>
      <c r="B45" s="31"/>
      <c r="C45" s="31"/>
      <c r="D45" s="14"/>
      <c r="E45" s="15"/>
      <c r="F45" s="16"/>
      <c r="G45" s="75"/>
    </row>
    <row r="46" spans="1:7" x14ac:dyDescent="0.25">
      <c r="A46" s="76" t="s">
        <v>90</v>
      </c>
      <c r="B46" s="31"/>
      <c r="C46" s="31"/>
      <c r="D46" s="14"/>
      <c r="E46" s="37" t="s">
        <v>85</v>
      </c>
      <c r="F46" s="38" t="s">
        <v>85</v>
      </c>
      <c r="G46" s="75"/>
    </row>
    <row r="47" spans="1:7" x14ac:dyDescent="0.25">
      <c r="A47" s="74"/>
      <c r="B47" s="31"/>
      <c r="C47" s="31"/>
      <c r="D47" s="14"/>
      <c r="E47" s="15"/>
      <c r="F47" s="16"/>
      <c r="G47" s="75"/>
    </row>
    <row r="48" spans="1:7" x14ac:dyDescent="0.25">
      <c r="A48" s="76" t="s">
        <v>92</v>
      </c>
      <c r="B48" s="31"/>
      <c r="C48" s="31"/>
      <c r="D48" s="14"/>
      <c r="E48" s="15"/>
      <c r="F48" s="16"/>
      <c r="G48" s="75"/>
    </row>
    <row r="49" spans="1:7" x14ac:dyDescent="0.25">
      <c r="A49" s="76" t="s">
        <v>90</v>
      </c>
      <c r="B49" s="31"/>
      <c r="C49" s="31"/>
      <c r="D49" s="14"/>
      <c r="E49" s="37" t="s">
        <v>85</v>
      </c>
      <c r="F49" s="38" t="s">
        <v>85</v>
      </c>
      <c r="G49" s="75"/>
    </row>
    <row r="50" spans="1:7" x14ac:dyDescent="0.25">
      <c r="A50" s="74"/>
      <c r="B50" s="31"/>
      <c r="C50" s="31"/>
      <c r="D50" s="14"/>
      <c r="E50" s="15"/>
      <c r="F50" s="16"/>
      <c r="G50" s="75"/>
    </row>
    <row r="51" spans="1:7" x14ac:dyDescent="0.25">
      <c r="A51" s="78" t="s">
        <v>93</v>
      </c>
      <c r="B51" s="79"/>
      <c r="C51" s="79"/>
      <c r="D51" s="80"/>
      <c r="E51" s="35">
        <v>40034.910000000003</v>
      </c>
      <c r="F51" s="36">
        <v>0.93679999999999997</v>
      </c>
      <c r="G51" s="77"/>
    </row>
    <row r="52" spans="1:7" x14ac:dyDescent="0.25">
      <c r="A52" s="74"/>
      <c r="B52" s="31"/>
      <c r="C52" s="31"/>
      <c r="D52" s="14"/>
      <c r="E52" s="15"/>
      <c r="F52" s="16"/>
      <c r="G52" s="75"/>
    </row>
    <row r="53" spans="1:7" x14ac:dyDescent="0.25">
      <c r="A53" s="74"/>
      <c r="B53" s="31"/>
      <c r="C53" s="31"/>
      <c r="D53" s="14"/>
      <c r="E53" s="15"/>
      <c r="F53" s="16"/>
      <c r="G53" s="75"/>
    </row>
    <row r="54" spans="1:7" x14ac:dyDescent="0.25">
      <c r="A54" s="76" t="s">
        <v>110</v>
      </c>
      <c r="B54" s="31"/>
      <c r="C54" s="31"/>
      <c r="D54" s="14"/>
      <c r="E54" s="15"/>
      <c r="F54" s="16"/>
      <c r="G54" s="75"/>
    </row>
    <row r="55" spans="1:7" x14ac:dyDescent="0.25">
      <c r="A55" s="74" t="s">
        <v>111</v>
      </c>
      <c r="B55" s="31"/>
      <c r="C55" s="31"/>
      <c r="D55" s="14"/>
      <c r="E55" s="15">
        <v>1572.38</v>
      </c>
      <c r="F55" s="16">
        <v>3.6799999999999999E-2</v>
      </c>
      <c r="G55" s="75">
        <v>3.5790000000000002E-2</v>
      </c>
    </row>
    <row r="56" spans="1:7" x14ac:dyDescent="0.25">
      <c r="A56" s="76" t="s">
        <v>90</v>
      </c>
      <c r="B56" s="32"/>
      <c r="C56" s="32"/>
      <c r="D56" s="18"/>
      <c r="E56" s="35">
        <v>1572.38</v>
      </c>
      <c r="F56" s="36">
        <v>3.6799999999999999E-2</v>
      </c>
      <c r="G56" s="77"/>
    </row>
    <row r="57" spans="1:7" x14ac:dyDescent="0.25">
      <c r="A57" s="74"/>
      <c r="B57" s="31"/>
      <c r="C57" s="31"/>
      <c r="D57" s="14"/>
      <c r="E57" s="15"/>
      <c r="F57" s="16"/>
      <c r="G57" s="75"/>
    </row>
    <row r="58" spans="1:7" x14ac:dyDescent="0.25">
      <c r="A58" s="78" t="s">
        <v>93</v>
      </c>
      <c r="B58" s="79"/>
      <c r="C58" s="79"/>
      <c r="D58" s="80"/>
      <c r="E58" s="35">
        <v>1572.38</v>
      </c>
      <c r="F58" s="36">
        <v>3.6799999999999999E-2</v>
      </c>
      <c r="G58" s="77"/>
    </row>
    <row r="59" spans="1:7" x14ac:dyDescent="0.25">
      <c r="A59" s="74" t="s">
        <v>112</v>
      </c>
      <c r="B59" s="31"/>
      <c r="C59" s="31"/>
      <c r="D59" s="14"/>
      <c r="E59" s="15">
        <v>1072.6863350000001</v>
      </c>
      <c r="F59" s="16">
        <v>2.5108999999999999E-2</v>
      </c>
      <c r="G59" s="75"/>
    </row>
    <row r="60" spans="1:7" x14ac:dyDescent="0.25">
      <c r="A60" s="74" t="s">
        <v>113</v>
      </c>
      <c r="B60" s="31"/>
      <c r="C60" s="31"/>
      <c r="D60" s="14"/>
      <c r="E60" s="15">
        <v>40.503664999999998</v>
      </c>
      <c r="F60" s="16">
        <v>1.291E-3</v>
      </c>
      <c r="G60" s="75">
        <v>3.5790000000000002E-2</v>
      </c>
    </row>
    <row r="61" spans="1:7" x14ac:dyDescent="0.25">
      <c r="A61" s="81" t="s">
        <v>114</v>
      </c>
      <c r="B61" s="34"/>
      <c r="C61" s="34"/>
      <c r="D61" s="27"/>
      <c r="E61" s="28">
        <v>42720.480000000003</v>
      </c>
      <c r="F61" s="29">
        <v>1</v>
      </c>
      <c r="G61" s="82"/>
    </row>
    <row r="62" spans="1:7" x14ac:dyDescent="0.25">
      <c r="A62" s="54"/>
      <c r="B62" s="56"/>
      <c r="C62" s="56"/>
      <c r="D62" s="56"/>
      <c r="E62" s="56"/>
      <c r="F62" s="56"/>
      <c r="G62" s="66"/>
    </row>
    <row r="63" spans="1:7" x14ac:dyDescent="0.25">
      <c r="A63" s="83" t="s">
        <v>116</v>
      </c>
      <c r="B63" s="56"/>
      <c r="C63" s="56"/>
      <c r="D63" s="56"/>
      <c r="E63" s="56"/>
      <c r="F63" s="56"/>
      <c r="G63" s="66"/>
    </row>
    <row r="64" spans="1:7" x14ac:dyDescent="0.25">
      <c r="A64" s="54"/>
      <c r="B64" s="56"/>
      <c r="C64" s="56"/>
      <c r="D64" s="56"/>
      <c r="E64" s="56"/>
      <c r="F64" s="56"/>
      <c r="G64" s="66"/>
    </row>
    <row r="65" spans="1:7" x14ac:dyDescent="0.25">
      <c r="A65" s="54"/>
      <c r="B65" s="56"/>
      <c r="C65" s="56"/>
      <c r="D65" s="56"/>
      <c r="E65" s="56"/>
      <c r="F65" s="56"/>
      <c r="G65" s="66"/>
    </row>
    <row r="66" spans="1:7" x14ac:dyDescent="0.25">
      <c r="A66" s="83" t="s">
        <v>1476</v>
      </c>
      <c r="B66" s="56"/>
      <c r="C66" s="56"/>
      <c r="D66" s="56"/>
      <c r="E66" s="56"/>
      <c r="F66" s="56"/>
      <c r="G66" s="66"/>
    </row>
    <row r="67" spans="1:7" x14ac:dyDescent="0.25">
      <c r="A67" s="84" t="s">
        <v>1477</v>
      </c>
      <c r="B67" s="85" t="s">
        <v>85</v>
      </c>
      <c r="C67" s="56"/>
      <c r="D67" s="56"/>
      <c r="E67" s="56"/>
      <c r="F67" s="56"/>
      <c r="G67" s="66"/>
    </row>
    <row r="68" spans="1:7" x14ac:dyDescent="0.25">
      <c r="A68" s="54" t="s">
        <v>1626</v>
      </c>
      <c r="B68" s="56"/>
      <c r="C68" s="56"/>
      <c r="D68" s="56"/>
      <c r="E68" s="56"/>
      <c r="F68" s="56"/>
      <c r="G68" s="66"/>
    </row>
    <row r="69" spans="1:7" x14ac:dyDescent="0.25">
      <c r="A69" s="54" t="s">
        <v>1478</v>
      </c>
      <c r="B69" s="92" t="s">
        <v>1479</v>
      </c>
      <c r="C69" s="92" t="s">
        <v>1479</v>
      </c>
      <c r="D69" s="56"/>
      <c r="E69" s="56"/>
      <c r="F69" s="56"/>
      <c r="G69" s="66"/>
    </row>
    <row r="70" spans="1:7" x14ac:dyDescent="0.25">
      <c r="A70" s="54"/>
      <c r="B70" s="86">
        <v>44469</v>
      </c>
      <c r="C70" s="86">
        <v>44651</v>
      </c>
      <c r="D70" s="56"/>
      <c r="E70" s="56"/>
      <c r="F70" s="56"/>
      <c r="G70" s="66"/>
    </row>
    <row r="71" spans="1:7" x14ac:dyDescent="0.25">
      <c r="A71" s="54" t="s">
        <v>1481</v>
      </c>
      <c r="B71" s="85" t="s">
        <v>1482</v>
      </c>
      <c r="C71" s="85" t="s">
        <v>1482</v>
      </c>
      <c r="D71" s="56"/>
      <c r="E71" s="59"/>
      <c r="F71" s="56"/>
      <c r="G71" s="87"/>
    </row>
    <row r="72" spans="1:7" x14ac:dyDescent="0.25">
      <c r="A72" s="54" t="s">
        <v>1499</v>
      </c>
      <c r="B72" s="85">
        <v>15.3002</v>
      </c>
      <c r="C72" s="85">
        <v>15.151899999999999</v>
      </c>
      <c r="D72" s="56"/>
      <c r="E72" s="59"/>
      <c r="F72" s="56"/>
      <c r="G72" s="87"/>
    </row>
    <row r="73" spans="1:7" x14ac:dyDescent="0.25">
      <c r="A73" s="54" t="s">
        <v>1483</v>
      </c>
      <c r="B73" s="85">
        <v>20.2791</v>
      </c>
      <c r="C73" s="85">
        <v>20.561399999999999</v>
      </c>
      <c r="D73" s="56"/>
      <c r="E73" s="59"/>
      <c r="F73" s="56"/>
      <c r="G73" s="87"/>
    </row>
    <row r="74" spans="1:7" x14ac:dyDescent="0.25">
      <c r="A74" s="54" t="s">
        <v>1484</v>
      </c>
      <c r="B74" s="85">
        <v>19.119800000000001</v>
      </c>
      <c r="C74" s="85">
        <v>18.7776</v>
      </c>
      <c r="D74" s="56"/>
      <c r="E74" s="59"/>
      <c r="F74" s="56"/>
      <c r="G74" s="87"/>
    </row>
    <row r="75" spans="1:7" x14ac:dyDescent="0.25">
      <c r="A75" s="54" t="s">
        <v>1500</v>
      </c>
      <c r="B75" s="85">
        <v>11.2705</v>
      </c>
      <c r="C75" s="85">
        <v>11.1973</v>
      </c>
      <c r="D75" s="56"/>
      <c r="E75" s="59"/>
      <c r="F75" s="56"/>
      <c r="G75" s="87"/>
    </row>
    <row r="76" spans="1:7" x14ac:dyDescent="0.25">
      <c r="A76" s="54" t="s">
        <v>1501</v>
      </c>
      <c r="B76" s="85">
        <v>10.578200000000001</v>
      </c>
      <c r="C76" s="85">
        <v>10.5791</v>
      </c>
      <c r="D76" s="56"/>
      <c r="E76" s="59"/>
      <c r="F76" s="56"/>
      <c r="G76" s="87"/>
    </row>
    <row r="77" spans="1:7" x14ac:dyDescent="0.25">
      <c r="A77" s="54" t="s">
        <v>1492</v>
      </c>
      <c r="B77" s="85" t="s">
        <v>1482</v>
      </c>
      <c r="C77" s="85" t="s">
        <v>1482</v>
      </c>
      <c r="D77" s="56"/>
      <c r="E77" s="59"/>
      <c r="F77" s="56"/>
      <c r="G77" s="87"/>
    </row>
    <row r="78" spans="1:7" x14ac:dyDescent="0.25">
      <c r="A78" s="54" t="s">
        <v>1502</v>
      </c>
      <c r="B78" s="85">
        <v>14.9246</v>
      </c>
      <c r="C78" s="85">
        <v>14.77</v>
      </c>
      <c r="D78" s="56"/>
      <c r="E78" s="59"/>
      <c r="F78" s="56"/>
      <c r="G78" s="87"/>
    </row>
    <row r="79" spans="1:7" x14ac:dyDescent="0.25">
      <c r="A79" s="54" t="s">
        <v>1503</v>
      </c>
      <c r="B79" s="85">
        <v>19.804600000000001</v>
      </c>
      <c r="C79" s="85">
        <v>20.049499999999998</v>
      </c>
      <c r="D79" s="56"/>
      <c r="E79" s="59"/>
      <c r="F79" s="56"/>
      <c r="G79" s="87"/>
    </row>
    <row r="80" spans="1:7" x14ac:dyDescent="0.25">
      <c r="A80" s="54" t="s">
        <v>1504</v>
      </c>
      <c r="B80" s="85">
        <v>18.647600000000001</v>
      </c>
      <c r="C80" s="85">
        <v>18.270199999999999</v>
      </c>
      <c r="D80" s="56"/>
      <c r="E80" s="59"/>
      <c r="F80" s="56"/>
      <c r="G80" s="87"/>
    </row>
    <row r="81" spans="1:7" x14ac:dyDescent="0.25">
      <c r="A81" s="54" t="s">
        <v>1505</v>
      </c>
      <c r="B81" s="85">
        <v>11.2765</v>
      </c>
      <c r="C81" s="85">
        <v>11.1967</v>
      </c>
      <c r="D81" s="56"/>
      <c r="E81" s="59"/>
      <c r="F81" s="56"/>
      <c r="G81" s="87"/>
    </row>
    <row r="82" spans="1:7" x14ac:dyDescent="0.25">
      <c r="A82" s="54" t="s">
        <v>1506</v>
      </c>
      <c r="B82" s="85">
        <v>10.3691</v>
      </c>
      <c r="C82" s="85">
        <v>10.1731</v>
      </c>
      <c r="D82" s="56"/>
      <c r="E82" s="59"/>
      <c r="F82" s="56"/>
      <c r="G82" s="87"/>
    </row>
    <row r="83" spans="1:7" x14ac:dyDescent="0.25">
      <c r="A83" s="54" t="s">
        <v>1493</v>
      </c>
      <c r="B83" s="56"/>
      <c r="C83" s="56"/>
      <c r="D83" s="56"/>
      <c r="E83" s="59"/>
      <c r="F83" s="56"/>
      <c r="G83" s="87"/>
    </row>
    <row r="84" spans="1:7" x14ac:dyDescent="0.25">
      <c r="A84" s="54"/>
      <c r="B84" s="56"/>
      <c r="C84" s="56"/>
      <c r="D84" s="56"/>
      <c r="E84" s="56"/>
      <c r="F84" s="56"/>
      <c r="G84" s="66"/>
    </row>
    <row r="85" spans="1:7" x14ac:dyDescent="0.25">
      <c r="A85" s="54" t="s">
        <v>2007</v>
      </c>
      <c r="B85" s="56"/>
      <c r="C85" s="56"/>
      <c r="D85" s="56"/>
      <c r="E85" s="56"/>
      <c r="F85" s="56"/>
      <c r="G85" s="66"/>
    </row>
    <row r="86" spans="1:7" x14ac:dyDescent="0.25">
      <c r="A86" s="54"/>
      <c r="B86" s="56"/>
      <c r="C86" s="56"/>
      <c r="D86" s="56"/>
      <c r="E86" s="56"/>
      <c r="F86" s="56"/>
      <c r="G86" s="66"/>
    </row>
    <row r="87" spans="1:7" x14ac:dyDescent="0.25">
      <c r="A87" s="93" t="s">
        <v>1507</v>
      </c>
      <c r="B87" s="94" t="s">
        <v>1508</v>
      </c>
      <c r="C87" s="95" t="s">
        <v>2018</v>
      </c>
      <c r="D87" s="95" t="s">
        <v>2019</v>
      </c>
      <c r="E87" s="56"/>
      <c r="F87" s="56"/>
      <c r="G87" s="66"/>
    </row>
    <row r="88" spans="1:7" x14ac:dyDescent="0.25">
      <c r="A88" s="96" t="s">
        <v>1510</v>
      </c>
      <c r="B88" s="97"/>
      <c r="C88" s="97">
        <v>0.33668979999999998</v>
      </c>
      <c r="D88" s="97">
        <v>0.33668979999999998</v>
      </c>
      <c r="E88" s="56"/>
      <c r="F88" s="56"/>
      <c r="G88" s="66"/>
    </row>
    <row r="89" spans="1:7" x14ac:dyDescent="0.25">
      <c r="A89" s="96" t="s">
        <v>1511</v>
      </c>
      <c r="B89" s="97"/>
      <c r="C89" s="97">
        <v>0.22888220000000001</v>
      </c>
      <c r="D89" s="97">
        <v>0.22888220000000001</v>
      </c>
      <c r="E89" s="56"/>
      <c r="F89" s="56"/>
      <c r="G89" s="66"/>
    </row>
    <row r="90" spans="1:7" x14ac:dyDescent="0.25">
      <c r="A90" s="96" t="s">
        <v>1512</v>
      </c>
      <c r="B90" s="97"/>
      <c r="C90" s="97">
        <v>0.14498179999999999</v>
      </c>
      <c r="D90" s="97">
        <v>0.14498179999999999</v>
      </c>
      <c r="E90" s="56"/>
      <c r="F90" s="56"/>
      <c r="G90" s="66"/>
    </row>
    <row r="91" spans="1:7" x14ac:dyDescent="0.25">
      <c r="A91" s="96" t="s">
        <v>1513</v>
      </c>
      <c r="B91" s="97"/>
      <c r="C91" s="97">
        <v>0.6</v>
      </c>
      <c r="D91" s="97">
        <v>0.6</v>
      </c>
      <c r="E91" s="56"/>
      <c r="F91" s="56"/>
      <c r="G91" s="66"/>
    </row>
    <row r="92" spans="1:7" x14ac:dyDescent="0.25">
      <c r="A92" s="96" t="s">
        <v>1514</v>
      </c>
      <c r="B92" s="97"/>
      <c r="C92" s="97">
        <v>0.35774349999999999</v>
      </c>
      <c r="D92" s="97">
        <v>0.35774349999999999</v>
      </c>
      <c r="E92" s="56"/>
      <c r="F92" s="56"/>
      <c r="G92" s="66"/>
    </row>
    <row r="93" spans="1:7" x14ac:dyDescent="0.25">
      <c r="A93" s="96" t="s">
        <v>1515</v>
      </c>
      <c r="B93" s="97"/>
      <c r="C93" s="97">
        <v>0.6</v>
      </c>
      <c r="D93" s="97">
        <v>0.6</v>
      </c>
      <c r="E93" s="56"/>
      <c r="F93" s="56"/>
      <c r="G93" s="66"/>
    </row>
    <row r="94" spans="1:7" x14ac:dyDescent="0.25">
      <c r="A94" s="96" t="s">
        <v>1516</v>
      </c>
      <c r="B94" s="97"/>
      <c r="C94" s="97">
        <v>0.3212372</v>
      </c>
      <c r="D94" s="97">
        <v>0.3212372</v>
      </c>
      <c r="E94" s="56"/>
      <c r="F94" s="56"/>
      <c r="G94" s="66"/>
    </row>
    <row r="95" spans="1:7" x14ac:dyDescent="0.25">
      <c r="A95" s="96" t="s">
        <v>1517</v>
      </c>
      <c r="B95" s="97"/>
      <c r="C95" s="97">
        <v>0.2179499</v>
      </c>
      <c r="D95" s="97">
        <v>0.2179499</v>
      </c>
      <c r="E95" s="56"/>
      <c r="F95" s="56"/>
      <c r="G95" s="66"/>
    </row>
    <row r="96" spans="1:7" x14ac:dyDescent="0.25">
      <c r="A96" s="54"/>
      <c r="B96" s="56"/>
      <c r="C96" s="56"/>
      <c r="D96" s="56"/>
      <c r="E96" s="56"/>
      <c r="F96" s="56"/>
      <c r="G96" s="66"/>
    </row>
    <row r="97" spans="1:7" x14ac:dyDescent="0.25">
      <c r="A97" s="54" t="s">
        <v>2008</v>
      </c>
      <c r="B97" s="85" t="s">
        <v>85</v>
      </c>
      <c r="C97" s="56"/>
      <c r="D97" s="56"/>
      <c r="E97" s="56"/>
      <c r="F97" s="56"/>
      <c r="G97" s="66"/>
    </row>
    <row r="98" spans="1:7" x14ac:dyDescent="0.25">
      <c r="A98" s="84" t="s">
        <v>2009</v>
      </c>
      <c r="B98" s="85" t="s">
        <v>85</v>
      </c>
      <c r="C98" s="56"/>
      <c r="D98" s="56"/>
      <c r="E98" s="56"/>
      <c r="F98" s="56"/>
      <c r="G98" s="66"/>
    </row>
    <row r="99" spans="1:7" x14ac:dyDescent="0.25">
      <c r="A99" s="84" t="s">
        <v>2010</v>
      </c>
      <c r="B99" s="85" t="s">
        <v>85</v>
      </c>
      <c r="C99" s="56"/>
      <c r="D99" s="56"/>
      <c r="E99" s="56"/>
      <c r="F99" s="56"/>
      <c r="G99" s="66"/>
    </row>
    <row r="100" spans="1:7" x14ac:dyDescent="0.25">
      <c r="A100" s="54" t="s">
        <v>1494</v>
      </c>
      <c r="B100" s="88">
        <v>7.0355534233972259</v>
      </c>
      <c r="C100" s="56"/>
      <c r="D100" s="56"/>
      <c r="E100" s="56"/>
      <c r="F100" s="56"/>
      <c r="G100" s="66"/>
    </row>
    <row r="101" spans="1:7" ht="30" x14ac:dyDescent="0.25">
      <c r="A101" s="84" t="s">
        <v>2011</v>
      </c>
      <c r="B101" s="85" t="s">
        <v>85</v>
      </c>
      <c r="C101" s="56"/>
      <c r="D101" s="56"/>
      <c r="E101" s="56"/>
      <c r="F101" s="56"/>
      <c r="G101" s="66"/>
    </row>
    <row r="102" spans="1:7" ht="30" x14ac:dyDescent="0.25">
      <c r="A102" s="84" t="s">
        <v>1495</v>
      </c>
      <c r="B102" s="85" t="s">
        <v>85</v>
      </c>
      <c r="C102" s="56"/>
      <c r="D102" s="56"/>
      <c r="E102" s="56"/>
      <c r="F102" s="56"/>
      <c r="G102" s="66"/>
    </row>
    <row r="103" spans="1:7" x14ac:dyDescent="0.25">
      <c r="A103" s="54" t="s">
        <v>1607</v>
      </c>
      <c r="B103" s="85" t="s">
        <v>85</v>
      </c>
      <c r="C103" s="56"/>
      <c r="D103" s="56"/>
      <c r="E103" s="56"/>
      <c r="F103" s="56"/>
      <c r="G103" s="66"/>
    </row>
    <row r="104" spans="1:7" x14ac:dyDescent="0.25">
      <c r="A104" s="54" t="s">
        <v>1608</v>
      </c>
      <c r="B104" s="85" t="s">
        <v>85</v>
      </c>
      <c r="C104" s="56"/>
      <c r="D104" s="56"/>
      <c r="E104" s="56"/>
      <c r="F104" s="56"/>
      <c r="G104" s="66"/>
    </row>
    <row r="105" spans="1:7" x14ac:dyDescent="0.25">
      <c r="A105" s="54"/>
      <c r="B105" s="56"/>
      <c r="C105" s="56"/>
      <c r="D105" s="56"/>
      <c r="E105" s="56"/>
      <c r="F105" s="56"/>
      <c r="G105" s="66"/>
    </row>
    <row r="106" spans="1:7" ht="15.75" thickBot="1" x14ac:dyDescent="0.3">
      <c r="A106" s="89"/>
      <c r="B106" s="90"/>
      <c r="C106" s="90"/>
      <c r="D106" s="90"/>
      <c r="E106" s="90"/>
      <c r="F106" s="90"/>
      <c r="G106" s="91"/>
    </row>
    <row r="109" spans="1:7" ht="30" x14ac:dyDescent="0.25">
      <c r="A109" s="107" t="s">
        <v>2042</v>
      </c>
      <c r="B109" s="108" t="s">
        <v>2043</v>
      </c>
      <c r="C109" s="108" t="s">
        <v>2044</v>
      </c>
      <c r="D109" s="109" t="s">
        <v>2045</v>
      </c>
    </row>
    <row r="110" spans="1:7" ht="46.5" customHeight="1" x14ac:dyDescent="0.25">
      <c r="A110" s="110" t="str">
        <f>HYPERLINK("[EDEL_Portfolio Monthly 28-Feb-2022.xlsx]EDBPDF!A1","Edelweiss Banking and PSU Debt Fund")</f>
        <v>Edelweiss Banking and PSU Debt Fund</v>
      </c>
      <c r="B110" s="111"/>
      <c r="C110" s="112" t="s">
        <v>2052</v>
      </c>
      <c r="D110" s="111"/>
    </row>
  </sheetData>
  <mergeCells count="2">
    <mergeCell ref="A3:G3"/>
    <mergeCell ref="A4:G4"/>
  </mergeCells>
  <pageMargins left="0.7" right="0.7" top="0.75" bottom="0.75" header="0.3" footer="0.3"/>
  <pageSetup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6"/>
  <sheetViews>
    <sheetView showGridLines="0" workbookViewId="0">
      <pane ySplit="6" topLeftCell="A80" activePane="bottomLeft" state="frozen"/>
      <selection activeCell="J3" sqref="J3"/>
      <selection pane="bottomLeft" activeCell="J3" sqref="J3"/>
    </sheetView>
  </sheetViews>
  <sheetFormatPr defaultRowHeight="15" x14ac:dyDescent="0.25"/>
  <cols>
    <col min="1" max="1" width="82.140625" bestFit="1"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21</v>
      </c>
      <c r="B3" s="139"/>
      <c r="C3" s="139"/>
      <c r="D3" s="139"/>
      <c r="E3" s="139"/>
      <c r="F3" s="139"/>
      <c r="G3" s="140"/>
      <c r="H3" s="46" t="str">
        <f>HYPERLINK("[EDEL_Portfolio HY 31032022.xlsx]Index!A1","Index")</f>
        <v>Index</v>
      </c>
    </row>
    <row r="4" spans="1:8" ht="19.5" customHeight="1" x14ac:dyDescent="0.25">
      <c r="A4" s="141" t="s">
        <v>22</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84</v>
      </c>
      <c r="B9" s="31"/>
      <c r="C9" s="31"/>
      <c r="D9" s="14"/>
      <c r="E9" s="52" t="s">
        <v>85</v>
      </c>
      <c r="F9" s="53" t="s">
        <v>85</v>
      </c>
      <c r="G9" s="75"/>
    </row>
    <row r="10" spans="1:8" x14ac:dyDescent="0.25">
      <c r="A10" s="74"/>
      <c r="B10" s="31"/>
      <c r="C10" s="31"/>
      <c r="D10" s="14"/>
      <c r="E10" s="15"/>
      <c r="F10" s="16"/>
      <c r="G10" s="75"/>
    </row>
    <row r="11" spans="1:8" x14ac:dyDescent="0.25">
      <c r="A11" s="76" t="s">
        <v>86</v>
      </c>
      <c r="B11" s="31"/>
      <c r="C11" s="31"/>
      <c r="D11" s="14"/>
      <c r="E11" s="15"/>
      <c r="F11" s="16"/>
      <c r="G11" s="75"/>
    </row>
    <row r="12" spans="1:8" x14ac:dyDescent="0.25">
      <c r="A12" s="76" t="s">
        <v>87</v>
      </c>
      <c r="B12" s="31"/>
      <c r="C12" s="31"/>
      <c r="D12" s="14"/>
      <c r="E12" s="15"/>
      <c r="F12" s="16"/>
      <c r="G12" s="75"/>
    </row>
    <row r="13" spans="1:8" x14ac:dyDescent="0.25">
      <c r="A13" s="74" t="s">
        <v>1801</v>
      </c>
      <c r="B13" s="31" t="s">
        <v>300</v>
      </c>
      <c r="C13" s="31" t="s">
        <v>121</v>
      </c>
      <c r="D13" s="14">
        <v>5000000</v>
      </c>
      <c r="E13" s="15">
        <v>5307.53</v>
      </c>
      <c r="F13" s="16">
        <v>0.12859999999999999</v>
      </c>
      <c r="G13" s="75">
        <v>6.0998999999999998E-2</v>
      </c>
    </row>
    <row r="14" spans="1:8" x14ac:dyDescent="0.25">
      <c r="A14" s="74" t="s">
        <v>1808</v>
      </c>
      <c r="B14" s="31" t="s">
        <v>301</v>
      </c>
      <c r="C14" s="31" t="s">
        <v>121</v>
      </c>
      <c r="D14" s="14">
        <v>4500000</v>
      </c>
      <c r="E14" s="15">
        <v>4456.74</v>
      </c>
      <c r="F14" s="16">
        <v>0.108</v>
      </c>
      <c r="G14" s="75">
        <v>6.0249999999999998E-2</v>
      </c>
    </row>
    <row r="15" spans="1:8" x14ac:dyDescent="0.25">
      <c r="A15" s="74" t="s">
        <v>1803</v>
      </c>
      <c r="B15" s="31" t="s">
        <v>302</v>
      </c>
      <c r="C15" s="31" t="s">
        <v>118</v>
      </c>
      <c r="D15" s="14">
        <v>2500000</v>
      </c>
      <c r="E15" s="15">
        <v>2618.0700000000002</v>
      </c>
      <c r="F15" s="16">
        <v>6.3399999999999998E-2</v>
      </c>
      <c r="G15" s="75">
        <v>5.9549999999999999E-2</v>
      </c>
    </row>
    <row r="16" spans="1:8" x14ac:dyDescent="0.25">
      <c r="A16" s="74" t="s">
        <v>1804</v>
      </c>
      <c r="B16" s="31" t="s">
        <v>303</v>
      </c>
      <c r="C16" s="31" t="s">
        <v>121</v>
      </c>
      <c r="D16" s="14">
        <v>2500000</v>
      </c>
      <c r="E16" s="15">
        <v>2536.89</v>
      </c>
      <c r="F16" s="16">
        <v>6.1499999999999999E-2</v>
      </c>
      <c r="G16" s="75">
        <v>0.06</v>
      </c>
    </row>
    <row r="17" spans="1:7" x14ac:dyDescent="0.25">
      <c r="A17" s="74" t="s">
        <v>1805</v>
      </c>
      <c r="B17" s="31" t="s">
        <v>304</v>
      </c>
      <c r="C17" s="31" t="s">
        <v>118</v>
      </c>
      <c r="D17" s="14">
        <v>2000000</v>
      </c>
      <c r="E17" s="15">
        <v>2033.61</v>
      </c>
      <c r="F17" s="16">
        <v>4.9299999999999997E-2</v>
      </c>
      <c r="G17" s="75">
        <v>6.7127000000000006E-2</v>
      </c>
    </row>
    <row r="18" spans="1:7" x14ac:dyDescent="0.25">
      <c r="A18" s="74" t="s">
        <v>1806</v>
      </c>
      <c r="B18" s="31" t="s">
        <v>305</v>
      </c>
      <c r="C18" s="31" t="s">
        <v>121</v>
      </c>
      <c r="D18" s="14">
        <v>1500000</v>
      </c>
      <c r="E18" s="15">
        <v>1549.81</v>
      </c>
      <c r="F18" s="16">
        <v>3.7499999999999999E-2</v>
      </c>
      <c r="G18" s="75">
        <v>5.9700000000000003E-2</v>
      </c>
    </row>
    <row r="19" spans="1:7" x14ac:dyDescent="0.25">
      <c r="A19" s="74" t="s">
        <v>1807</v>
      </c>
      <c r="B19" s="31" t="s">
        <v>306</v>
      </c>
      <c r="C19" s="31" t="s">
        <v>121</v>
      </c>
      <c r="D19" s="14">
        <v>500000</v>
      </c>
      <c r="E19" s="15">
        <v>536.32000000000005</v>
      </c>
      <c r="F19" s="16">
        <v>1.2999999999999999E-2</v>
      </c>
      <c r="G19" s="75">
        <v>5.8025E-2</v>
      </c>
    </row>
    <row r="20" spans="1:7" x14ac:dyDescent="0.25">
      <c r="A20" s="76" t="s">
        <v>90</v>
      </c>
      <c r="B20" s="32"/>
      <c r="C20" s="32"/>
      <c r="D20" s="18"/>
      <c r="E20" s="35">
        <v>19038.97</v>
      </c>
      <c r="F20" s="36">
        <v>0.46129999999999999</v>
      </c>
      <c r="G20" s="77"/>
    </row>
    <row r="21" spans="1:7" x14ac:dyDescent="0.25">
      <c r="A21" s="74"/>
      <c r="B21" s="31"/>
      <c r="C21" s="31"/>
      <c r="D21" s="14"/>
      <c r="E21" s="15"/>
      <c r="F21" s="16"/>
      <c r="G21" s="75"/>
    </row>
    <row r="22" spans="1:7" x14ac:dyDescent="0.25">
      <c r="A22" s="76" t="s">
        <v>195</v>
      </c>
      <c r="B22" s="31"/>
      <c r="C22" s="31"/>
      <c r="D22" s="14"/>
      <c r="E22" s="15"/>
      <c r="F22" s="16"/>
      <c r="G22" s="75"/>
    </row>
    <row r="23" spans="1:7" x14ac:dyDescent="0.25">
      <c r="A23" s="74" t="s">
        <v>1809</v>
      </c>
      <c r="B23" s="31" t="s">
        <v>307</v>
      </c>
      <c r="C23" s="31" t="s">
        <v>197</v>
      </c>
      <c r="D23" s="14">
        <v>7000000</v>
      </c>
      <c r="E23" s="15">
        <v>6908.93</v>
      </c>
      <c r="F23" s="16">
        <v>0.16739999999999999</v>
      </c>
      <c r="G23" s="75">
        <v>5.6665E-2</v>
      </c>
    </row>
    <row r="24" spans="1:7" x14ac:dyDescent="0.25">
      <c r="A24" s="76" t="s">
        <v>90</v>
      </c>
      <c r="B24" s="32"/>
      <c r="C24" s="32"/>
      <c r="D24" s="18"/>
      <c r="E24" s="35">
        <v>6908.93</v>
      </c>
      <c r="F24" s="36">
        <v>0.16739999999999999</v>
      </c>
      <c r="G24" s="77"/>
    </row>
    <row r="25" spans="1:7" x14ac:dyDescent="0.25">
      <c r="A25" s="76"/>
      <c r="B25" s="32"/>
      <c r="C25" s="32"/>
      <c r="D25" s="18"/>
      <c r="E25" s="42"/>
      <c r="F25" s="21"/>
      <c r="G25" s="77"/>
    </row>
    <row r="26" spans="1:7" x14ac:dyDescent="0.25">
      <c r="A26" s="76" t="s">
        <v>308</v>
      </c>
      <c r="B26" s="31"/>
      <c r="C26" s="31"/>
      <c r="D26" s="14"/>
      <c r="E26" s="15"/>
      <c r="F26" s="16"/>
      <c r="G26" s="75"/>
    </row>
    <row r="27" spans="1:7" x14ac:dyDescent="0.25">
      <c r="A27" s="74" t="s">
        <v>1810</v>
      </c>
      <c r="B27" s="31" t="s">
        <v>309</v>
      </c>
      <c r="C27" s="31" t="s">
        <v>197</v>
      </c>
      <c r="D27" s="14">
        <v>2500000</v>
      </c>
      <c r="E27" s="15">
        <v>2668.41</v>
      </c>
      <c r="F27" s="16">
        <v>6.4600000000000005E-2</v>
      </c>
      <c r="G27" s="75">
        <v>6.0309000000000001E-2</v>
      </c>
    </row>
    <row r="28" spans="1:7" x14ac:dyDescent="0.25">
      <c r="A28" s="74" t="s">
        <v>1811</v>
      </c>
      <c r="B28" s="31" t="s">
        <v>310</v>
      </c>
      <c r="C28" s="31" t="s">
        <v>197</v>
      </c>
      <c r="D28" s="14">
        <v>2500000</v>
      </c>
      <c r="E28" s="15">
        <v>2658.55</v>
      </c>
      <c r="F28" s="16">
        <v>6.4399999999999999E-2</v>
      </c>
      <c r="G28" s="75">
        <v>5.9906000000000001E-2</v>
      </c>
    </row>
    <row r="29" spans="1:7" x14ac:dyDescent="0.25">
      <c r="A29" s="74" t="s">
        <v>1812</v>
      </c>
      <c r="B29" s="31" t="s">
        <v>311</v>
      </c>
      <c r="C29" s="31" t="s">
        <v>197</v>
      </c>
      <c r="D29" s="14">
        <v>2500000</v>
      </c>
      <c r="E29" s="15">
        <v>2655.53</v>
      </c>
      <c r="F29" s="16">
        <v>6.4299999999999996E-2</v>
      </c>
      <c r="G29" s="75">
        <v>5.9903999999999999E-2</v>
      </c>
    </row>
    <row r="30" spans="1:7" x14ac:dyDescent="0.25">
      <c r="A30" s="74" t="s">
        <v>1813</v>
      </c>
      <c r="B30" s="31" t="s">
        <v>312</v>
      </c>
      <c r="C30" s="31" t="s">
        <v>197</v>
      </c>
      <c r="D30" s="14">
        <v>2000000</v>
      </c>
      <c r="E30" s="15">
        <v>2127.8000000000002</v>
      </c>
      <c r="F30" s="16">
        <v>5.1499999999999997E-2</v>
      </c>
      <c r="G30" s="75">
        <v>5.9400000000000001E-2</v>
      </c>
    </row>
    <row r="31" spans="1:7" x14ac:dyDescent="0.25">
      <c r="A31" s="74" t="s">
        <v>1814</v>
      </c>
      <c r="B31" s="31" t="s">
        <v>313</v>
      </c>
      <c r="C31" s="31" t="s">
        <v>197</v>
      </c>
      <c r="D31" s="14">
        <v>1000000</v>
      </c>
      <c r="E31" s="15">
        <v>1068.49</v>
      </c>
      <c r="F31" s="16">
        <v>2.5899999999999999E-2</v>
      </c>
      <c r="G31" s="75">
        <v>6.028E-2</v>
      </c>
    </row>
    <row r="32" spans="1:7" x14ac:dyDescent="0.25">
      <c r="A32" s="74" t="s">
        <v>1815</v>
      </c>
      <c r="B32" s="31" t="s">
        <v>314</v>
      </c>
      <c r="C32" s="31" t="s">
        <v>197</v>
      </c>
      <c r="D32" s="14">
        <v>1000000</v>
      </c>
      <c r="E32" s="15">
        <v>1068.1400000000001</v>
      </c>
      <c r="F32" s="16">
        <v>2.5899999999999999E-2</v>
      </c>
      <c r="G32" s="75">
        <v>6.0155E-2</v>
      </c>
    </row>
    <row r="33" spans="1:7" x14ac:dyDescent="0.25">
      <c r="A33" s="74" t="s">
        <v>1816</v>
      </c>
      <c r="B33" s="31" t="s">
        <v>315</v>
      </c>
      <c r="C33" s="31" t="s">
        <v>197</v>
      </c>
      <c r="D33" s="14">
        <v>1000000</v>
      </c>
      <c r="E33" s="15">
        <v>1067.5</v>
      </c>
      <c r="F33" s="16">
        <v>2.5899999999999999E-2</v>
      </c>
      <c r="G33" s="75">
        <v>5.9806999999999999E-2</v>
      </c>
    </row>
    <row r="34" spans="1:7" x14ac:dyDescent="0.25">
      <c r="A34" s="74" t="s">
        <v>1817</v>
      </c>
      <c r="B34" s="31" t="s">
        <v>316</v>
      </c>
      <c r="C34" s="31" t="s">
        <v>197</v>
      </c>
      <c r="D34" s="14">
        <v>500000</v>
      </c>
      <c r="E34" s="15">
        <v>534.20000000000005</v>
      </c>
      <c r="F34" s="16">
        <v>1.29E-2</v>
      </c>
      <c r="G34" s="75">
        <v>5.9879000000000002E-2</v>
      </c>
    </row>
    <row r="35" spans="1:7" x14ac:dyDescent="0.25">
      <c r="A35" s="74" t="s">
        <v>1818</v>
      </c>
      <c r="B35" s="31" t="s">
        <v>317</v>
      </c>
      <c r="C35" s="31" t="s">
        <v>197</v>
      </c>
      <c r="D35" s="14">
        <v>500000</v>
      </c>
      <c r="E35" s="15">
        <v>534.16</v>
      </c>
      <c r="F35" s="16">
        <v>1.29E-2</v>
      </c>
      <c r="G35" s="75">
        <v>5.9806999999999999E-2</v>
      </c>
    </row>
    <row r="36" spans="1:7" x14ac:dyDescent="0.25">
      <c r="A36" s="74" t="s">
        <v>1819</v>
      </c>
      <c r="B36" s="31" t="s">
        <v>318</v>
      </c>
      <c r="C36" s="31" t="s">
        <v>197</v>
      </c>
      <c r="D36" s="14">
        <v>500000</v>
      </c>
      <c r="E36" s="15">
        <v>531.87</v>
      </c>
      <c r="F36" s="16">
        <v>1.29E-2</v>
      </c>
      <c r="G36" s="75">
        <v>5.9903999999999999E-2</v>
      </c>
    </row>
    <row r="37" spans="1:7" x14ac:dyDescent="0.25">
      <c r="A37" s="76" t="s">
        <v>90</v>
      </c>
      <c r="B37" s="32"/>
      <c r="C37" s="32"/>
      <c r="D37" s="18"/>
      <c r="E37" s="35">
        <v>14914.65</v>
      </c>
      <c r="F37" s="36">
        <v>0.36120000000000002</v>
      </c>
      <c r="G37" s="77"/>
    </row>
    <row r="38" spans="1:7" x14ac:dyDescent="0.25">
      <c r="A38" s="74"/>
      <c r="B38" s="31"/>
      <c r="C38" s="31"/>
      <c r="D38" s="14"/>
      <c r="E38" s="15"/>
      <c r="F38" s="16"/>
      <c r="G38" s="75"/>
    </row>
    <row r="39" spans="1:7" x14ac:dyDescent="0.25">
      <c r="A39" s="74"/>
      <c r="B39" s="31"/>
      <c r="C39" s="31"/>
      <c r="D39" s="14"/>
      <c r="E39" s="15"/>
      <c r="F39" s="16"/>
      <c r="G39" s="75"/>
    </row>
    <row r="40" spans="1:7" x14ac:dyDescent="0.25">
      <c r="A40" s="76" t="s">
        <v>91</v>
      </c>
      <c r="B40" s="31"/>
      <c r="C40" s="31"/>
      <c r="D40" s="14"/>
      <c r="E40" s="15"/>
      <c r="F40" s="16"/>
      <c r="G40" s="75"/>
    </row>
    <row r="41" spans="1:7" x14ac:dyDescent="0.25">
      <c r="A41" s="76" t="s">
        <v>90</v>
      </c>
      <c r="B41" s="31"/>
      <c r="C41" s="31"/>
      <c r="D41" s="14"/>
      <c r="E41" s="37" t="s">
        <v>85</v>
      </c>
      <c r="F41" s="38" t="s">
        <v>85</v>
      </c>
      <c r="G41" s="75"/>
    </row>
    <row r="42" spans="1:7" x14ac:dyDescent="0.25">
      <c r="A42" s="74"/>
      <c r="B42" s="31"/>
      <c r="C42" s="31"/>
      <c r="D42" s="14"/>
      <c r="E42" s="15"/>
      <c r="F42" s="16"/>
      <c r="G42" s="75"/>
    </row>
    <row r="43" spans="1:7" x14ac:dyDescent="0.25">
      <c r="A43" s="76" t="s">
        <v>92</v>
      </c>
      <c r="B43" s="31"/>
      <c r="C43" s="31"/>
      <c r="D43" s="14"/>
      <c r="E43" s="15"/>
      <c r="F43" s="16"/>
      <c r="G43" s="75"/>
    </row>
    <row r="44" spans="1:7" x14ac:dyDescent="0.25">
      <c r="A44" s="76" t="s">
        <v>90</v>
      </c>
      <c r="B44" s="31"/>
      <c r="C44" s="31"/>
      <c r="D44" s="14"/>
      <c r="E44" s="37" t="s">
        <v>85</v>
      </c>
      <c r="F44" s="38" t="s">
        <v>85</v>
      </c>
      <c r="G44" s="75"/>
    </row>
    <row r="45" spans="1:7" x14ac:dyDescent="0.25">
      <c r="A45" s="74"/>
      <c r="B45" s="31"/>
      <c r="C45" s="31"/>
      <c r="D45" s="14"/>
      <c r="E45" s="15"/>
      <c r="F45" s="16"/>
      <c r="G45" s="75"/>
    </row>
    <row r="46" spans="1:7" x14ac:dyDescent="0.25">
      <c r="A46" s="78" t="s">
        <v>93</v>
      </c>
      <c r="B46" s="79"/>
      <c r="C46" s="79"/>
      <c r="D46" s="80"/>
      <c r="E46" s="35">
        <v>40862.550000000003</v>
      </c>
      <c r="F46" s="36">
        <v>0.9899</v>
      </c>
      <c r="G46" s="77"/>
    </row>
    <row r="47" spans="1:7" x14ac:dyDescent="0.25">
      <c r="A47" s="74"/>
      <c r="B47" s="31"/>
      <c r="C47" s="31"/>
      <c r="D47" s="14"/>
      <c r="E47" s="15"/>
      <c r="F47" s="16"/>
      <c r="G47" s="75"/>
    </row>
    <row r="48" spans="1:7" x14ac:dyDescent="0.25">
      <c r="A48" s="74"/>
      <c r="B48" s="31"/>
      <c r="C48" s="31"/>
      <c r="D48" s="14"/>
      <c r="E48" s="15"/>
      <c r="F48" s="16"/>
      <c r="G48" s="75"/>
    </row>
    <row r="49" spans="1:7" x14ac:dyDescent="0.25">
      <c r="A49" s="76" t="s">
        <v>110</v>
      </c>
      <c r="B49" s="31"/>
      <c r="C49" s="31"/>
      <c r="D49" s="14"/>
      <c r="E49" s="15"/>
      <c r="F49" s="16"/>
      <c r="G49" s="75"/>
    </row>
    <row r="50" spans="1:7" x14ac:dyDescent="0.25">
      <c r="A50" s="74" t="s">
        <v>111</v>
      </c>
      <c r="B50" s="31"/>
      <c r="C50" s="31"/>
      <c r="D50" s="14"/>
      <c r="E50" s="15">
        <v>3340.69</v>
      </c>
      <c r="F50" s="16">
        <v>8.09E-2</v>
      </c>
      <c r="G50" s="75">
        <v>3.5790000000000002E-2</v>
      </c>
    </row>
    <row r="51" spans="1:7" x14ac:dyDescent="0.25">
      <c r="A51" s="76" t="s">
        <v>90</v>
      </c>
      <c r="B51" s="32"/>
      <c r="C51" s="32"/>
      <c r="D51" s="18"/>
      <c r="E51" s="35">
        <v>3340.69</v>
      </c>
      <c r="F51" s="36">
        <v>8.09E-2</v>
      </c>
      <c r="G51" s="77"/>
    </row>
    <row r="52" spans="1:7" x14ac:dyDescent="0.25">
      <c r="A52" s="74"/>
      <c r="B52" s="31"/>
      <c r="C52" s="31"/>
      <c r="D52" s="14"/>
      <c r="E52" s="15"/>
      <c r="F52" s="16"/>
      <c r="G52" s="75"/>
    </row>
    <row r="53" spans="1:7" x14ac:dyDescent="0.25">
      <c r="A53" s="78" t="s">
        <v>93</v>
      </c>
      <c r="B53" s="79"/>
      <c r="C53" s="79"/>
      <c r="D53" s="80"/>
      <c r="E53" s="35">
        <v>3340.69</v>
      </c>
      <c r="F53" s="36">
        <v>8.09E-2</v>
      </c>
      <c r="G53" s="77"/>
    </row>
    <row r="54" spans="1:7" x14ac:dyDescent="0.25">
      <c r="A54" s="74" t="s">
        <v>112</v>
      </c>
      <c r="B54" s="31"/>
      <c r="C54" s="31"/>
      <c r="D54" s="14"/>
      <c r="E54" s="15">
        <v>1109.3357518</v>
      </c>
      <c r="F54" s="16">
        <v>2.6872E-2</v>
      </c>
      <c r="G54" s="75"/>
    </row>
    <row r="55" spans="1:7" x14ac:dyDescent="0.25">
      <c r="A55" s="74" t="s">
        <v>113</v>
      </c>
      <c r="B55" s="31"/>
      <c r="C55" s="31"/>
      <c r="D55" s="14"/>
      <c r="E55" s="24">
        <v>-4030.8957518000002</v>
      </c>
      <c r="F55" s="25">
        <v>-9.7671999999999995E-2</v>
      </c>
      <c r="G55" s="75">
        <v>3.5790000000000002E-2</v>
      </c>
    </row>
    <row r="56" spans="1:7" x14ac:dyDescent="0.25">
      <c r="A56" s="81" t="s">
        <v>114</v>
      </c>
      <c r="B56" s="34"/>
      <c r="C56" s="34"/>
      <c r="D56" s="27"/>
      <c r="E56" s="28">
        <v>41281.68</v>
      </c>
      <c r="F56" s="29">
        <v>1</v>
      </c>
      <c r="G56" s="82"/>
    </row>
    <row r="57" spans="1:7" x14ac:dyDescent="0.25">
      <c r="A57" s="54"/>
      <c r="B57" s="56"/>
      <c r="C57" s="56"/>
      <c r="D57" s="56"/>
      <c r="E57" s="56"/>
      <c r="F57" s="56"/>
      <c r="G57" s="66"/>
    </row>
    <row r="58" spans="1:7" x14ac:dyDescent="0.25">
      <c r="A58" s="83" t="s">
        <v>116</v>
      </c>
      <c r="B58" s="56"/>
      <c r="C58" s="56"/>
      <c r="D58" s="56"/>
      <c r="E58" s="56"/>
      <c r="F58" s="56"/>
      <c r="G58" s="66"/>
    </row>
    <row r="59" spans="1:7" x14ac:dyDescent="0.25">
      <c r="A59" s="54"/>
      <c r="B59" s="56"/>
      <c r="C59" s="56"/>
      <c r="D59" s="56"/>
      <c r="E59" s="56"/>
      <c r="F59" s="56"/>
      <c r="G59" s="66"/>
    </row>
    <row r="60" spans="1:7" x14ac:dyDescent="0.25">
      <c r="A60" s="54"/>
      <c r="B60" s="56"/>
      <c r="C60" s="56"/>
      <c r="D60" s="56"/>
      <c r="E60" s="56"/>
      <c r="F60" s="56"/>
      <c r="G60" s="66"/>
    </row>
    <row r="61" spans="1:7" x14ac:dyDescent="0.25">
      <c r="A61" s="83" t="s">
        <v>1476</v>
      </c>
      <c r="B61" s="56"/>
      <c r="C61" s="56"/>
      <c r="D61" s="56"/>
      <c r="E61" s="56"/>
      <c r="F61" s="56"/>
      <c r="G61" s="66"/>
    </row>
    <row r="62" spans="1:7" x14ac:dyDescent="0.25">
      <c r="A62" s="84" t="s">
        <v>1477</v>
      </c>
      <c r="B62" s="85" t="s">
        <v>85</v>
      </c>
      <c r="C62" s="56"/>
      <c r="D62" s="56"/>
      <c r="E62" s="56"/>
      <c r="F62" s="56"/>
      <c r="G62" s="66"/>
    </row>
    <row r="63" spans="1:7" x14ac:dyDescent="0.25">
      <c r="A63" s="54" t="s">
        <v>1626</v>
      </c>
      <c r="B63" s="56"/>
      <c r="C63" s="56"/>
      <c r="D63" s="56"/>
      <c r="E63" s="56"/>
      <c r="F63" s="56"/>
      <c r="G63" s="66"/>
    </row>
    <row r="64" spans="1:7" x14ac:dyDescent="0.25">
      <c r="A64" s="54" t="s">
        <v>1478</v>
      </c>
      <c r="B64" s="92" t="s">
        <v>1479</v>
      </c>
      <c r="C64" s="92" t="s">
        <v>1479</v>
      </c>
      <c r="D64" s="56"/>
      <c r="E64" s="56"/>
      <c r="F64" s="56"/>
      <c r="G64" s="66"/>
    </row>
    <row r="65" spans="1:7" x14ac:dyDescent="0.25">
      <c r="A65" s="54"/>
      <c r="B65" s="86">
        <v>44469</v>
      </c>
      <c r="C65" s="86">
        <v>44651</v>
      </c>
      <c r="D65" s="56"/>
      <c r="E65" s="56"/>
      <c r="F65" s="56"/>
      <c r="G65" s="66"/>
    </row>
    <row r="66" spans="1:7" x14ac:dyDescent="0.25">
      <c r="A66" s="54" t="s">
        <v>1483</v>
      </c>
      <c r="B66" s="85" t="s">
        <v>2013</v>
      </c>
      <c r="C66" s="56">
        <v>10.045500000000001</v>
      </c>
      <c r="D66" s="56"/>
      <c r="E66" s="56"/>
      <c r="F66" s="56"/>
      <c r="G66" s="66"/>
    </row>
    <row r="67" spans="1:7" x14ac:dyDescent="0.25">
      <c r="A67" s="54" t="s">
        <v>1484</v>
      </c>
      <c r="B67" s="85" t="s">
        <v>2013</v>
      </c>
      <c r="C67" s="56">
        <v>10.045500000000001</v>
      </c>
      <c r="D67" s="56"/>
      <c r="E67" s="56"/>
      <c r="F67" s="56"/>
      <c r="G67" s="66"/>
    </row>
    <row r="68" spans="1:7" x14ac:dyDescent="0.25">
      <c r="A68" s="54" t="s">
        <v>1503</v>
      </c>
      <c r="B68" s="85" t="s">
        <v>2013</v>
      </c>
      <c r="C68" s="56">
        <v>10.0443</v>
      </c>
      <c r="D68" s="56"/>
      <c r="E68" s="56"/>
      <c r="F68" s="56"/>
      <c r="G68" s="66"/>
    </row>
    <row r="69" spans="1:7" x14ac:dyDescent="0.25">
      <c r="A69" s="54" t="s">
        <v>1504</v>
      </c>
      <c r="B69" s="85" t="s">
        <v>2013</v>
      </c>
      <c r="C69" s="56">
        <v>10.0443</v>
      </c>
      <c r="D69" s="56"/>
      <c r="E69" s="56"/>
      <c r="F69" s="56"/>
      <c r="G69" s="66"/>
    </row>
    <row r="70" spans="1:7" x14ac:dyDescent="0.25">
      <c r="A70" s="54" t="s">
        <v>2014</v>
      </c>
      <c r="B70" s="56"/>
      <c r="C70" s="56"/>
      <c r="D70" s="56"/>
      <c r="E70" s="56"/>
      <c r="F70" s="56"/>
      <c r="G70" s="66"/>
    </row>
    <row r="71" spans="1:7" x14ac:dyDescent="0.25">
      <c r="A71" s="54"/>
      <c r="B71" s="56"/>
      <c r="C71" s="56"/>
      <c r="D71" s="56"/>
      <c r="E71" s="56"/>
      <c r="F71" s="56"/>
      <c r="G71" s="66"/>
    </row>
    <row r="72" spans="1:7" x14ac:dyDescent="0.25">
      <c r="A72" s="54" t="s">
        <v>2006</v>
      </c>
      <c r="B72" s="85" t="s">
        <v>85</v>
      </c>
      <c r="C72" s="56"/>
      <c r="D72" s="56"/>
      <c r="E72" s="56"/>
      <c r="F72" s="56"/>
      <c r="G72" s="66"/>
    </row>
    <row r="73" spans="1:7" x14ac:dyDescent="0.25">
      <c r="A73" s="54" t="s">
        <v>2008</v>
      </c>
      <c r="B73" s="85" t="s">
        <v>85</v>
      </c>
      <c r="C73" s="56"/>
      <c r="D73" s="56"/>
      <c r="E73" s="56"/>
      <c r="F73" s="56"/>
      <c r="G73" s="66"/>
    </row>
    <row r="74" spans="1:7" x14ac:dyDescent="0.25">
      <c r="A74" s="84" t="s">
        <v>2009</v>
      </c>
      <c r="B74" s="85" t="s">
        <v>85</v>
      </c>
      <c r="C74" s="56"/>
      <c r="D74" s="56"/>
      <c r="E74" s="56"/>
      <c r="F74" s="56"/>
      <c r="G74" s="66"/>
    </row>
    <row r="75" spans="1:7" x14ac:dyDescent="0.25">
      <c r="A75" s="84" t="s">
        <v>2010</v>
      </c>
      <c r="B75" s="85" t="s">
        <v>85</v>
      </c>
      <c r="C75" s="56"/>
      <c r="D75" s="56"/>
      <c r="E75" s="56"/>
      <c r="F75" s="56"/>
      <c r="G75" s="66"/>
    </row>
    <row r="76" spans="1:7" x14ac:dyDescent="0.25">
      <c r="A76" s="54" t="s">
        <v>1494</v>
      </c>
      <c r="B76" s="88">
        <v>3.1294494536434816</v>
      </c>
      <c r="C76" s="56"/>
      <c r="D76" s="56"/>
      <c r="E76" s="56"/>
      <c r="F76" s="56"/>
      <c r="G76" s="66"/>
    </row>
    <row r="77" spans="1:7" ht="30" x14ac:dyDescent="0.25">
      <c r="A77" s="84" t="s">
        <v>2011</v>
      </c>
      <c r="B77" s="85" t="s">
        <v>85</v>
      </c>
      <c r="C77" s="56"/>
      <c r="D77" s="56"/>
      <c r="E77" s="56"/>
      <c r="F77" s="56"/>
      <c r="G77" s="66"/>
    </row>
    <row r="78" spans="1:7" ht="30" x14ac:dyDescent="0.25">
      <c r="A78" s="84" t="s">
        <v>1495</v>
      </c>
      <c r="B78" s="85" t="s">
        <v>85</v>
      </c>
      <c r="C78" s="56"/>
      <c r="D78" s="56"/>
      <c r="E78" s="56"/>
      <c r="F78" s="56"/>
      <c r="G78" s="66"/>
    </row>
    <row r="79" spans="1:7" x14ac:dyDescent="0.25">
      <c r="A79" s="54" t="s">
        <v>1498</v>
      </c>
      <c r="B79" s="88">
        <v>4419.7990101000005</v>
      </c>
      <c r="C79" s="56"/>
      <c r="D79" s="56"/>
      <c r="E79" s="56"/>
      <c r="F79" s="56"/>
      <c r="G79" s="66"/>
    </row>
    <row r="80" spans="1:7" x14ac:dyDescent="0.25">
      <c r="A80" s="54" t="s">
        <v>1609</v>
      </c>
      <c r="B80" s="85" t="s">
        <v>85</v>
      </c>
      <c r="C80" s="56"/>
      <c r="D80" s="56"/>
      <c r="E80" s="56"/>
      <c r="F80" s="56"/>
      <c r="G80" s="66"/>
    </row>
    <row r="81" spans="1:7" x14ac:dyDescent="0.25">
      <c r="A81" s="54" t="s">
        <v>1610</v>
      </c>
      <c r="B81" s="85" t="s">
        <v>85</v>
      </c>
      <c r="C81" s="56"/>
      <c r="D81" s="56"/>
      <c r="E81" s="56"/>
      <c r="F81" s="56"/>
      <c r="G81" s="66"/>
    </row>
    <row r="82" spans="1:7" ht="15.75" thickBot="1" x14ac:dyDescent="0.3">
      <c r="A82" s="89"/>
      <c r="B82" s="90"/>
      <c r="C82" s="90"/>
      <c r="D82" s="90"/>
      <c r="E82" s="90"/>
      <c r="F82" s="90"/>
      <c r="G82" s="91"/>
    </row>
    <row r="85" spans="1:7" ht="30" x14ac:dyDescent="0.25">
      <c r="A85" s="107" t="s">
        <v>2042</v>
      </c>
      <c r="B85" s="108" t="s">
        <v>2043</v>
      </c>
      <c r="C85" s="108" t="s">
        <v>2044</v>
      </c>
      <c r="D85" s="109" t="s">
        <v>2045</v>
      </c>
    </row>
    <row r="86" spans="1:7" ht="49.5" customHeight="1" x14ac:dyDescent="0.25">
      <c r="A86" s="110" t="s">
        <v>2053</v>
      </c>
      <c r="B86" s="111"/>
      <c r="C86" s="112" t="s">
        <v>2054</v>
      </c>
      <c r="D86" s="111"/>
    </row>
  </sheetData>
  <mergeCells count="2">
    <mergeCell ref="A3:G3"/>
    <mergeCell ref="A4:G4"/>
  </mergeCells>
  <pageMargins left="0.7" right="0.7" top="0.75" bottom="0.75" header="0.3" footer="0.3"/>
  <pageSetup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0"/>
  <sheetViews>
    <sheetView showGridLines="0" workbookViewId="0">
      <pane ySplit="6" topLeftCell="A46"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23</v>
      </c>
      <c r="B3" s="139"/>
      <c r="C3" s="139"/>
      <c r="D3" s="139"/>
      <c r="E3" s="139"/>
      <c r="F3" s="139"/>
      <c r="G3" s="140"/>
      <c r="H3" s="46" t="str">
        <f>HYPERLINK("[EDEL_Portfolio HY 31032022.xlsx]Index!A1","Index")</f>
        <v>Index</v>
      </c>
    </row>
    <row r="4" spans="1:8" ht="19.5" customHeight="1" x14ac:dyDescent="0.25">
      <c r="A4" s="141" t="s">
        <v>24</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84</v>
      </c>
      <c r="B9" s="31"/>
      <c r="C9" s="31"/>
      <c r="D9" s="14"/>
      <c r="E9" s="52" t="s">
        <v>85</v>
      </c>
      <c r="F9" s="53" t="s">
        <v>85</v>
      </c>
      <c r="G9" s="75"/>
    </row>
    <row r="10" spans="1:8" x14ac:dyDescent="0.25">
      <c r="A10" s="74"/>
      <c r="B10" s="31"/>
      <c r="C10" s="31"/>
      <c r="D10" s="14"/>
      <c r="E10" s="15"/>
      <c r="F10" s="16"/>
      <c r="G10" s="75"/>
    </row>
    <row r="11" spans="1:8" x14ac:dyDescent="0.25">
      <c r="A11" s="76" t="s">
        <v>319</v>
      </c>
      <c r="B11" s="31"/>
      <c r="C11" s="31"/>
      <c r="D11" s="14"/>
      <c r="E11" s="15"/>
      <c r="F11" s="16"/>
      <c r="G11" s="75"/>
    </row>
    <row r="12" spans="1:8" x14ac:dyDescent="0.25">
      <c r="A12" s="74" t="s">
        <v>1820</v>
      </c>
      <c r="B12" s="31" t="s">
        <v>320</v>
      </c>
      <c r="C12" s="31"/>
      <c r="D12" s="14">
        <v>10787223</v>
      </c>
      <c r="E12" s="15">
        <v>126257.71</v>
      </c>
      <c r="F12" s="16">
        <v>0.98160000000000003</v>
      </c>
      <c r="G12" s="75"/>
    </row>
    <row r="13" spans="1:8" x14ac:dyDescent="0.25">
      <c r="A13" s="76" t="s">
        <v>90</v>
      </c>
      <c r="B13" s="32"/>
      <c r="C13" s="32"/>
      <c r="D13" s="18"/>
      <c r="E13" s="35">
        <v>126257.71</v>
      </c>
      <c r="F13" s="36">
        <v>0.98160000000000003</v>
      </c>
      <c r="G13" s="77"/>
    </row>
    <row r="14" spans="1:8" x14ac:dyDescent="0.25">
      <c r="A14" s="74"/>
      <c r="B14" s="31"/>
      <c r="C14" s="31"/>
      <c r="D14" s="14"/>
      <c r="E14" s="15"/>
      <c r="F14" s="16"/>
      <c r="G14" s="75"/>
    </row>
    <row r="15" spans="1:8" x14ac:dyDescent="0.25">
      <c r="A15" s="78" t="s">
        <v>93</v>
      </c>
      <c r="B15" s="79"/>
      <c r="C15" s="79"/>
      <c r="D15" s="80"/>
      <c r="E15" s="35">
        <v>126257.71</v>
      </c>
      <c r="F15" s="36">
        <v>0.98160000000000003</v>
      </c>
      <c r="G15" s="77"/>
    </row>
    <row r="16" spans="1:8" x14ac:dyDescent="0.25">
      <c r="A16" s="74"/>
      <c r="B16" s="31"/>
      <c r="C16" s="31"/>
      <c r="D16" s="14"/>
      <c r="E16" s="15"/>
      <c r="F16" s="16"/>
      <c r="G16" s="75"/>
    </row>
    <row r="17" spans="1:7" x14ac:dyDescent="0.25">
      <c r="A17" s="76" t="s">
        <v>110</v>
      </c>
      <c r="B17" s="31"/>
      <c r="C17" s="31"/>
      <c r="D17" s="14"/>
      <c r="E17" s="15"/>
      <c r="F17" s="16"/>
      <c r="G17" s="75"/>
    </row>
    <row r="18" spans="1:7" x14ac:dyDescent="0.25">
      <c r="A18" s="74" t="s">
        <v>111</v>
      </c>
      <c r="B18" s="31"/>
      <c r="C18" s="31"/>
      <c r="D18" s="14"/>
      <c r="E18" s="15">
        <v>3626.58</v>
      </c>
      <c r="F18" s="16">
        <v>2.8199999999999999E-2</v>
      </c>
      <c r="G18" s="75">
        <v>3.5790000000000002E-2</v>
      </c>
    </row>
    <row r="19" spans="1:7" x14ac:dyDescent="0.25">
      <c r="A19" s="76" t="s">
        <v>90</v>
      </c>
      <c r="B19" s="32"/>
      <c r="C19" s="32"/>
      <c r="D19" s="18"/>
      <c r="E19" s="35">
        <v>3626.58</v>
      </c>
      <c r="F19" s="36">
        <v>2.8199999999999999E-2</v>
      </c>
      <c r="G19" s="77"/>
    </row>
    <row r="20" spans="1:7" x14ac:dyDescent="0.25">
      <c r="A20" s="74"/>
      <c r="B20" s="31"/>
      <c r="C20" s="31"/>
      <c r="D20" s="14"/>
      <c r="E20" s="15"/>
      <c r="F20" s="16"/>
      <c r="G20" s="75"/>
    </row>
    <row r="21" spans="1:7" x14ac:dyDescent="0.25">
      <c r="A21" s="78" t="s">
        <v>93</v>
      </c>
      <c r="B21" s="79"/>
      <c r="C21" s="79"/>
      <c r="D21" s="80"/>
      <c r="E21" s="35">
        <v>3626.58</v>
      </c>
      <c r="F21" s="36">
        <v>2.8199999999999999E-2</v>
      </c>
      <c r="G21" s="77"/>
    </row>
    <row r="22" spans="1:7" x14ac:dyDescent="0.25">
      <c r="A22" s="74" t="s">
        <v>112</v>
      </c>
      <c r="B22" s="31"/>
      <c r="C22" s="31"/>
      <c r="D22" s="14"/>
      <c r="E22" s="15">
        <v>0.35560330000000001</v>
      </c>
      <c r="F22" s="53" t="s">
        <v>2022</v>
      </c>
      <c r="G22" s="75"/>
    </row>
    <row r="23" spans="1:7" x14ac:dyDescent="0.25">
      <c r="A23" s="74" t="s">
        <v>113</v>
      </c>
      <c r="B23" s="31"/>
      <c r="C23" s="31"/>
      <c r="D23" s="14"/>
      <c r="E23" s="24">
        <v>-1261.8656033</v>
      </c>
      <c r="F23" s="25">
        <v>-9.8019999999999999E-3</v>
      </c>
      <c r="G23" s="75">
        <v>3.5790000000000002E-2</v>
      </c>
    </row>
    <row r="24" spans="1:7" x14ac:dyDescent="0.25">
      <c r="A24" s="81" t="s">
        <v>114</v>
      </c>
      <c r="B24" s="34"/>
      <c r="C24" s="34"/>
      <c r="D24" s="27"/>
      <c r="E24" s="28">
        <v>128622.78</v>
      </c>
      <c r="F24" s="29">
        <v>1</v>
      </c>
      <c r="G24" s="82"/>
    </row>
    <row r="25" spans="1:7" x14ac:dyDescent="0.25">
      <c r="A25" s="83"/>
      <c r="B25" s="61"/>
      <c r="C25" s="61"/>
      <c r="D25" s="62"/>
      <c r="E25" s="63"/>
      <c r="F25" s="64"/>
      <c r="G25" s="98"/>
    </row>
    <row r="26" spans="1:7" x14ac:dyDescent="0.25">
      <c r="A26" s="83" t="s">
        <v>2023</v>
      </c>
      <c r="B26" s="61"/>
      <c r="C26" s="61"/>
      <c r="D26" s="62"/>
      <c r="E26" s="63"/>
      <c r="F26" s="64"/>
      <c r="G26" s="98"/>
    </row>
    <row r="27" spans="1:7" x14ac:dyDescent="0.25">
      <c r="A27" s="54"/>
      <c r="B27" s="56"/>
      <c r="C27" s="56"/>
      <c r="D27" s="56"/>
      <c r="E27" s="56"/>
      <c r="F27" s="56"/>
      <c r="G27" s="66"/>
    </row>
    <row r="28" spans="1:7" x14ac:dyDescent="0.25">
      <c r="A28" s="83" t="s">
        <v>1476</v>
      </c>
      <c r="B28" s="56"/>
      <c r="C28" s="56"/>
      <c r="D28" s="56"/>
      <c r="E28" s="56"/>
      <c r="F28" s="56"/>
      <c r="G28" s="66"/>
    </row>
    <row r="29" spans="1:7" x14ac:dyDescent="0.25">
      <c r="A29" s="84" t="s">
        <v>1477</v>
      </c>
      <c r="B29" s="85" t="s">
        <v>85</v>
      </c>
      <c r="C29" s="56"/>
      <c r="D29" s="56"/>
      <c r="E29" s="56"/>
      <c r="F29" s="56"/>
      <c r="G29" s="66"/>
    </row>
    <row r="30" spans="1:7" x14ac:dyDescent="0.25">
      <c r="A30" s="54" t="s">
        <v>1626</v>
      </c>
      <c r="B30" s="56"/>
      <c r="C30" s="56"/>
      <c r="D30" s="56"/>
      <c r="E30" s="56"/>
      <c r="F30" s="56"/>
      <c r="G30" s="66"/>
    </row>
    <row r="31" spans="1:7" x14ac:dyDescent="0.25">
      <c r="A31" s="54" t="s">
        <v>1478</v>
      </c>
      <c r="B31" s="85" t="s">
        <v>1479</v>
      </c>
      <c r="C31" s="85" t="s">
        <v>1479</v>
      </c>
      <c r="D31" s="56"/>
      <c r="E31" s="56"/>
      <c r="F31" s="56"/>
      <c r="G31" s="66"/>
    </row>
    <row r="32" spans="1:7" x14ac:dyDescent="0.25">
      <c r="A32" s="54"/>
      <c r="B32" s="86">
        <v>44469</v>
      </c>
      <c r="C32" s="86">
        <v>44651</v>
      </c>
      <c r="D32" s="56"/>
      <c r="E32" s="56"/>
      <c r="F32" s="56"/>
      <c r="G32" s="66"/>
    </row>
    <row r="33" spans="1:7" x14ac:dyDescent="0.25">
      <c r="A33" s="54" t="s">
        <v>1483</v>
      </c>
      <c r="B33" s="56">
        <v>11.4551</v>
      </c>
      <c r="C33" s="56">
        <v>11.6761</v>
      </c>
      <c r="D33" s="56"/>
      <c r="E33" s="59"/>
      <c r="F33" s="56"/>
      <c r="G33" s="87"/>
    </row>
    <row r="34" spans="1:7" x14ac:dyDescent="0.25">
      <c r="A34" s="54" t="s">
        <v>1484</v>
      </c>
      <c r="B34" s="56">
        <v>11.4551</v>
      </c>
      <c r="C34" s="56">
        <v>11.6761</v>
      </c>
      <c r="D34" s="56"/>
      <c r="E34" s="59"/>
      <c r="F34" s="56"/>
      <c r="G34" s="87"/>
    </row>
    <row r="35" spans="1:7" x14ac:dyDescent="0.25">
      <c r="A35" s="54" t="s">
        <v>1503</v>
      </c>
      <c r="B35" s="56">
        <v>11.4551</v>
      </c>
      <c r="C35" s="56">
        <v>11.6761</v>
      </c>
      <c r="D35" s="56"/>
      <c r="E35" s="59"/>
      <c r="F35" s="56"/>
      <c r="G35" s="87"/>
    </row>
    <row r="36" spans="1:7" x14ac:dyDescent="0.25">
      <c r="A36" s="54" t="s">
        <v>1504</v>
      </c>
      <c r="B36" s="56">
        <v>11.4551</v>
      </c>
      <c r="C36" s="56">
        <v>11.6761</v>
      </c>
      <c r="D36" s="56"/>
      <c r="E36" s="59"/>
      <c r="F36" s="56"/>
      <c r="G36" s="87"/>
    </row>
    <row r="37" spans="1:7" x14ac:dyDescent="0.25">
      <c r="A37" s="54"/>
      <c r="B37" s="56"/>
      <c r="C37" s="56"/>
      <c r="D37" s="56"/>
      <c r="E37" s="59"/>
      <c r="F37" s="56"/>
      <c r="G37" s="87"/>
    </row>
    <row r="38" spans="1:7" x14ac:dyDescent="0.25">
      <c r="A38" s="54" t="s">
        <v>2006</v>
      </c>
      <c r="B38" s="85" t="s">
        <v>85</v>
      </c>
      <c r="C38" s="56"/>
      <c r="D38" s="56"/>
      <c r="E38" s="56"/>
      <c r="F38" s="56"/>
      <c r="G38" s="66"/>
    </row>
    <row r="39" spans="1:7" x14ac:dyDescent="0.25">
      <c r="A39" s="54" t="s">
        <v>2008</v>
      </c>
      <c r="B39" s="85" t="s">
        <v>85</v>
      </c>
      <c r="C39" s="56"/>
      <c r="D39" s="56"/>
      <c r="E39" s="56"/>
      <c r="F39" s="56"/>
      <c r="G39" s="66"/>
    </row>
    <row r="40" spans="1:7" x14ac:dyDescent="0.25">
      <c r="A40" s="84" t="s">
        <v>2009</v>
      </c>
      <c r="B40" s="85" t="s">
        <v>85</v>
      </c>
      <c r="C40" s="56"/>
      <c r="D40" s="56"/>
      <c r="E40" s="56"/>
      <c r="F40" s="56"/>
      <c r="G40" s="66"/>
    </row>
    <row r="41" spans="1:7" x14ac:dyDescent="0.25">
      <c r="A41" s="84" t="s">
        <v>2010</v>
      </c>
      <c r="B41" s="85" t="s">
        <v>85</v>
      </c>
      <c r="C41" s="56"/>
      <c r="D41" s="56"/>
      <c r="E41" s="56"/>
      <c r="F41" s="56"/>
      <c r="G41" s="66"/>
    </row>
    <row r="42" spans="1:7" x14ac:dyDescent="0.25">
      <c r="A42" s="54" t="s">
        <v>1494</v>
      </c>
      <c r="B42" s="88">
        <v>2.31E-4</v>
      </c>
      <c r="C42" s="56"/>
      <c r="D42" s="56"/>
      <c r="E42" s="56"/>
      <c r="F42" s="56"/>
      <c r="G42" s="66"/>
    </row>
    <row r="43" spans="1:7" ht="30" x14ac:dyDescent="0.25">
      <c r="A43" s="84" t="s">
        <v>2011</v>
      </c>
      <c r="B43" s="85" t="s">
        <v>85</v>
      </c>
      <c r="C43" s="56"/>
      <c r="D43" s="56"/>
      <c r="E43" s="56"/>
      <c r="F43" s="56"/>
      <c r="G43" s="66"/>
    </row>
    <row r="44" spans="1:7" ht="30" x14ac:dyDescent="0.25">
      <c r="A44" s="84" t="s">
        <v>1495</v>
      </c>
      <c r="B44" s="85" t="s">
        <v>85</v>
      </c>
      <c r="C44" s="56"/>
      <c r="D44" s="56"/>
      <c r="E44" s="56"/>
      <c r="F44" s="56"/>
      <c r="G44" s="66"/>
    </row>
    <row r="45" spans="1:7" x14ac:dyDescent="0.25">
      <c r="A45" s="54" t="s">
        <v>1607</v>
      </c>
      <c r="B45" s="85" t="s">
        <v>85</v>
      </c>
      <c r="C45" s="56"/>
      <c r="D45" s="56"/>
      <c r="E45" s="56"/>
      <c r="F45" s="56"/>
      <c r="G45" s="66"/>
    </row>
    <row r="46" spans="1:7" x14ac:dyDescent="0.25">
      <c r="A46" s="54" t="s">
        <v>1608</v>
      </c>
      <c r="B46" s="85" t="s">
        <v>85</v>
      </c>
      <c r="C46" s="56"/>
      <c r="D46" s="56"/>
      <c r="E46" s="56"/>
      <c r="F46" s="56"/>
      <c r="G46" s="66"/>
    </row>
    <row r="47" spans="1:7" ht="15.75" thickBot="1" x14ac:dyDescent="0.3">
      <c r="A47" s="89"/>
      <c r="B47" s="90"/>
      <c r="C47" s="90"/>
      <c r="D47" s="90"/>
      <c r="E47" s="90"/>
      <c r="F47" s="90"/>
      <c r="G47" s="91"/>
    </row>
    <row r="49" spans="1:4" ht="30" x14ac:dyDescent="0.25">
      <c r="A49" s="107" t="s">
        <v>2042</v>
      </c>
      <c r="B49" s="108" t="s">
        <v>2043</v>
      </c>
      <c r="C49" s="108" t="s">
        <v>2044</v>
      </c>
      <c r="D49" s="109" t="s">
        <v>2045</v>
      </c>
    </row>
    <row r="50" spans="1:4" ht="45.75" customHeight="1" x14ac:dyDescent="0.25">
      <c r="A50" s="110" t="str">
        <f>HYPERLINK("[EDEL_Portfolio Monthly 28-Feb-2022.xlsx]EDFF23!A1","BHARAT Bond FOF - April 2023")</f>
        <v>BHARAT Bond FOF - April 2023</v>
      </c>
      <c r="B50" s="111"/>
      <c r="C50" s="112" t="s">
        <v>2047</v>
      </c>
      <c r="D50" s="111"/>
    </row>
  </sheetData>
  <mergeCells count="2">
    <mergeCell ref="A3:G3"/>
    <mergeCell ref="A4:G4"/>
  </mergeCells>
  <pageMargins left="0.7" right="0.7" top="0.75" bottom="0.75" header="0.3" footer="0.3"/>
  <pageSetup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2"/>
  <sheetViews>
    <sheetView showGridLines="0" workbookViewId="0">
      <pane ySplit="6" topLeftCell="A46"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25</v>
      </c>
      <c r="B3" s="139"/>
      <c r="C3" s="139"/>
      <c r="D3" s="139"/>
      <c r="E3" s="139"/>
      <c r="F3" s="139"/>
      <c r="G3" s="140"/>
      <c r="H3" s="46" t="str">
        <f>HYPERLINK("[EDEL_Portfolio HY 31032022.xlsx]Index!A1","Index")</f>
        <v>Index</v>
      </c>
    </row>
    <row r="4" spans="1:8" ht="19.5" customHeight="1" x14ac:dyDescent="0.25">
      <c r="A4" s="141" t="s">
        <v>26</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84</v>
      </c>
      <c r="B9" s="31"/>
      <c r="C9" s="31"/>
      <c r="D9" s="14"/>
      <c r="E9" s="52" t="s">
        <v>85</v>
      </c>
      <c r="F9" s="53" t="s">
        <v>85</v>
      </c>
      <c r="G9" s="75"/>
    </row>
    <row r="10" spans="1:8" x14ac:dyDescent="0.25">
      <c r="A10" s="74"/>
      <c r="B10" s="31"/>
      <c r="C10" s="31"/>
      <c r="D10" s="14"/>
      <c r="E10" s="15"/>
      <c r="F10" s="16"/>
      <c r="G10" s="75"/>
    </row>
    <row r="11" spans="1:8" x14ac:dyDescent="0.25">
      <c r="A11" s="74"/>
      <c r="B11" s="31"/>
      <c r="C11" s="31"/>
      <c r="D11" s="14"/>
      <c r="E11" s="15"/>
      <c r="F11" s="16"/>
      <c r="G11" s="75"/>
    </row>
    <row r="12" spans="1:8" x14ac:dyDescent="0.25">
      <c r="A12" s="76" t="s">
        <v>319</v>
      </c>
      <c r="B12" s="31"/>
      <c r="C12" s="31"/>
      <c r="D12" s="14"/>
      <c r="E12" s="15"/>
      <c r="F12" s="16"/>
      <c r="G12" s="75"/>
    </row>
    <row r="13" spans="1:8" x14ac:dyDescent="0.25">
      <c r="A13" s="74" t="s">
        <v>1821</v>
      </c>
      <c r="B13" s="31" t="s">
        <v>321</v>
      </c>
      <c r="C13" s="31"/>
      <c r="D13" s="14">
        <v>36403061</v>
      </c>
      <c r="E13" s="15">
        <v>394666.15</v>
      </c>
      <c r="F13" s="16">
        <v>1.0017</v>
      </c>
      <c r="G13" s="75"/>
    </row>
    <row r="14" spans="1:8" x14ac:dyDescent="0.25">
      <c r="A14" s="76" t="s">
        <v>90</v>
      </c>
      <c r="B14" s="32"/>
      <c r="C14" s="32"/>
      <c r="D14" s="18"/>
      <c r="E14" s="35">
        <v>394666.15</v>
      </c>
      <c r="F14" s="36">
        <v>1.0017</v>
      </c>
      <c r="G14" s="77"/>
    </row>
    <row r="15" spans="1:8" x14ac:dyDescent="0.25">
      <c r="A15" s="74"/>
      <c r="B15" s="31"/>
      <c r="C15" s="31"/>
      <c r="D15" s="14"/>
      <c r="E15" s="15"/>
      <c r="F15" s="16"/>
      <c r="G15" s="75"/>
    </row>
    <row r="16" spans="1:8" x14ac:dyDescent="0.25">
      <c r="A16" s="78" t="s">
        <v>93</v>
      </c>
      <c r="B16" s="79"/>
      <c r="C16" s="79"/>
      <c r="D16" s="80"/>
      <c r="E16" s="35">
        <v>394666.15</v>
      </c>
      <c r="F16" s="36">
        <v>1.0017</v>
      </c>
      <c r="G16" s="77"/>
    </row>
    <row r="17" spans="1:7" x14ac:dyDescent="0.25">
      <c r="A17" s="74"/>
      <c r="B17" s="31"/>
      <c r="C17" s="31"/>
      <c r="D17" s="14"/>
      <c r="E17" s="15"/>
      <c r="F17" s="16"/>
      <c r="G17" s="75"/>
    </row>
    <row r="18" spans="1:7" x14ac:dyDescent="0.25">
      <c r="A18" s="76" t="s">
        <v>110</v>
      </c>
      <c r="B18" s="31"/>
      <c r="C18" s="31"/>
      <c r="D18" s="14"/>
      <c r="E18" s="15"/>
      <c r="F18" s="16"/>
      <c r="G18" s="75"/>
    </row>
    <row r="19" spans="1:7" x14ac:dyDescent="0.25">
      <c r="A19" s="74" t="s">
        <v>111</v>
      </c>
      <c r="B19" s="31"/>
      <c r="C19" s="31"/>
      <c r="D19" s="14"/>
      <c r="E19" s="15">
        <v>28.99</v>
      </c>
      <c r="F19" s="16">
        <v>1E-4</v>
      </c>
      <c r="G19" s="75">
        <v>3.5790000000000002E-2</v>
      </c>
    </row>
    <row r="20" spans="1:7" x14ac:dyDescent="0.25">
      <c r="A20" s="76" t="s">
        <v>90</v>
      </c>
      <c r="B20" s="32"/>
      <c r="C20" s="32"/>
      <c r="D20" s="18"/>
      <c r="E20" s="35">
        <v>28.99</v>
      </c>
      <c r="F20" s="36">
        <v>1E-4</v>
      </c>
      <c r="G20" s="77"/>
    </row>
    <row r="21" spans="1:7" x14ac:dyDescent="0.25">
      <c r="A21" s="74"/>
      <c r="B21" s="31"/>
      <c r="C21" s="31"/>
      <c r="D21" s="14"/>
      <c r="E21" s="15"/>
      <c r="F21" s="16"/>
      <c r="G21" s="75"/>
    </row>
    <row r="22" spans="1:7" x14ac:dyDescent="0.25">
      <c r="A22" s="78" t="s">
        <v>93</v>
      </c>
      <c r="B22" s="79"/>
      <c r="C22" s="79"/>
      <c r="D22" s="80"/>
      <c r="E22" s="35">
        <v>28.99</v>
      </c>
      <c r="F22" s="36">
        <v>1E-4</v>
      </c>
      <c r="G22" s="77"/>
    </row>
    <row r="23" spans="1:7" x14ac:dyDescent="0.25">
      <c r="A23" s="74" t="s">
        <v>112</v>
      </c>
      <c r="B23" s="31"/>
      <c r="C23" s="31"/>
      <c r="D23" s="14"/>
      <c r="E23" s="15">
        <v>2.8425E-3</v>
      </c>
      <c r="F23" s="53" t="s">
        <v>2022</v>
      </c>
      <c r="G23" s="75"/>
    </row>
    <row r="24" spans="1:7" x14ac:dyDescent="0.25">
      <c r="A24" s="74" t="s">
        <v>113</v>
      </c>
      <c r="B24" s="31"/>
      <c r="C24" s="31"/>
      <c r="D24" s="14"/>
      <c r="E24" s="24">
        <v>-679.62284250000005</v>
      </c>
      <c r="F24" s="25">
        <v>-1.8E-3</v>
      </c>
      <c r="G24" s="75">
        <v>3.5790000000000002E-2</v>
      </c>
    </row>
    <row r="25" spans="1:7" x14ac:dyDescent="0.25">
      <c r="A25" s="81" t="s">
        <v>114</v>
      </c>
      <c r="B25" s="34"/>
      <c r="C25" s="34"/>
      <c r="D25" s="27"/>
      <c r="E25" s="28">
        <v>394015.52</v>
      </c>
      <c r="F25" s="29">
        <v>1</v>
      </c>
      <c r="G25" s="82"/>
    </row>
    <row r="26" spans="1:7" x14ac:dyDescent="0.25">
      <c r="A26" s="54"/>
      <c r="B26" s="56"/>
      <c r="C26" s="56"/>
      <c r="D26" s="56"/>
      <c r="E26" s="56"/>
      <c r="F26" s="56"/>
      <c r="G26" s="66"/>
    </row>
    <row r="27" spans="1:7" x14ac:dyDescent="0.25">
      <c r="A27" s="83" t="s">
        <v>2023</v>
      </c>
      <c r="B27" s="56"/>
      <c r="C27" s="56"/>
      <c r="D27" s="56"/>
      <c r="E27" s="56"/>
      <c r="F27" s="56"/>
      <c r="G27" s="66"/>
    </row>
    <row r="28" spans="1:7" x14ac:dyDescent="0.25">
      <c r="A28" s="83"/>
      <c r="B28" s="56"/>
      <c r="C28" s="56"/>
      <c r="D28" s="56"/>
      <c r="E28" s="56"/>
      <c r="F28" s="56"/>
      <c r="G28" s="66"/>
    </row>
    <row r="29" spans="1:7" x14ac:dyDescent="0.25">
      <c r="A29" s="83" t="s">
        <v>1476</v>
      </c>
      <c r="B29" s="56"/>
      <c r="C29" s="56"/>
      <c r="D29" s="56"/>
      <c r="E29" s="56"/>
      <c r="F29" s="56"/>
      <c r="G29" s="66"/>
    </row>
    <row r="30" spans="1:7" x14ac:dyDescent="0.25">
      <c r="A30" s="84" t="s">
        <v>1477</v>
      </c>
      <c r="B30" s="85" t="s">
        <v>85</v>
      </c>
      <c r="C30" s="56"/>
      <c r="D30" s="56"/>
      <c r="E30" s="56"/>
      <c r="F30" s="56"/>
      <c r="G30" s="66"/>
    </row>
    <row r="31" spans="1:7" x14ac:dyDescent="0.25">
      <c r="A31" s="54" t="s">
        <v>1626</v>
      </c>
      <c r="B31" s="56"/>
      <c r="C31" s="56"/>
      <c r="D31" s="56"/>
      <c r="E31" s="56"/>
      <c r="F31" s="56"/>
      <c r="G31" s="66"/>
    </row>
    <row r="32" spans="1:7" x14ac:dyDescent="0.25">
      <c r="A32" s="54" t="s">
        <v>1478</v>
      </c>
      <c r="B32" s="85" t="s">
        <v>1479</v>
      </c>
      <c r="C32" s="85" t="s">
        <v>1479</v>
      </c>
      <c r="D32" s="56"/>
      <c r="E32" s="56"/>
      <c r="F32" s="56"/>
      <c r="G32" s="66"/>
    </row>
    <row r="33" spans="1:7" x14ac:dyDescent="0.25">
      <c r="A33" s="54"/>
      <c r="B33" s="86">
        <v>44469</v>
      </c>
      <c r="C33" s="86">
        <v>44651</v>
      </c>
      <c r="D33" s="56"/>
      <c r="E33" s="56"/>
      <c r="F33" s="56"/>
      <c r="G33" s="66"/>
    </row>
    <row r="34" spans="1:7" x14ac:dyDescent="0.25">
      <c r="A34" s="54" t="s">
        <v>1483</v>
      </c>
      <c r="B34" s="56">
        <v>10.6348</v>
      </c>
      <c r="C34" s="56">
        <v>10.823</v>
      </c>
      <c r="D34" s="56"/>
      <c r="E34" s="59"/>
      <c r="F34" s="56"/>
      <c r="G34" s="87"/>
    </row>
    <row r="35" spans="1:7" x14ac:dyDescent="0.25">
      <c r="A35" s="54" t="s">
        <v>1484</v>
      </c>
      <c r="B35" s="56">
        <v>10.6348</v>
      </c>
      <c r="C35" s="56">
        <v>10.823</v>
      </c>
      <c r="D35" s="56"/>
      <c r="E35" s="59"/>
      <c r="F35" s="56"/>
      <c r="G35" s="87"/>
    </row>
    <row r="36" spans="1:7" x14ac:dyDescent="0.25">
      <c r="A36" s="54" t="s">
        <v>1503</v>
      </c>
      <c r="B36" s="56">
        <v>10.6348</v>
      </c>
      <c r="C36" s="56">
        <v>10.823</v>
      </c>
      <c r="D36" s="56"/>
      <c r="E36" s="59"/>
      <c r="F36" s="56"/>
      <c r="G36" s="87"/>
    </row>
    <row r="37" spans="1:7" x14ac:dyDescent="0.25">
      <c r="A37" s="54" t="s">
        <v>1504</v>
      </c>
      <c r="B37" s="56">
        <v>10.6348</v>
      </c>
      <c r="C37" s="56">
        <v>10.823</v>
      </c>
      <c r="D37" s="56"/>
      <c r="E37" s="59"/>
      <c r="F37" s="56"/>
      <c r="G37" s="87"/>
    </row>
    <row r="38" spans="1:7" x14ac:dyDescent="0.25">
      <c r="A38" s="54"/>
      <c r="B38" s="56"/>
      <c r="C38" s="56"/>
      <c r="D38" s="56"/>
      <c r="E38" s="59"/>
      <c r="F38" s="56"/>
      <c r="G38" s="87"/>
    </row>
    <row r="39" spans="1:7" x14ac:dyDescent="0.25">
      <c r="A39" s="54" t="s">
        <v>2006</v>
      </c>
      <c r="B39" s="85" t="s">
        <v>85</v>
      </c>
      <c r="C39" s="56"/>
      <c r="D39" s="56"/>
      <c r="E39" s="56"/>
      <c r="F39" s="56"/>
      <c r="G39" s="66"/>
    </row>
    <row r="40" spans="1:7" x14ac:dyDescent="0.25">
      <c r="A40" s="54" t="s">
        <v>2008</v>
      </c>
      <c r="B40" s="85" t="s">
        <v>85</v>
      </c>
      <c r="C40" s="56"/>
      <c r="D40" s="56"/>
      <c r="E40" s="56"/>
      <c r="F40" s="56"/>
      <c r="G40" s="66"/>
    </row>
    <row r="41" spans="1:7" x14ac:dyDescent="0.25">
      <c r="A41" s="84" t="s">
        <v>2009</v>
      </c>
      <c r="B41" s="85" t="s">
        <v>85</v>
      </c>
      <c r="C41" s="56"/>
      <c r="D41" s="56"/>
      <c r="E41" s="56"/>
      <c r="F41" s="56"/>
      <c r="G41" s="66"/>
    </row>
    <row r="42" spans="1:7" x14ac:dyDescent="0.25">
      <c r="A42" s="84" t="s">
        <v>2010</v>
      </c>
      <c r="B42" s="85" t="s">
        <v>85</v>
      </c>
      <c r="C42" s="56"/>
      <c r="D42" s="56"/>
      <c r="E42" s="56"/>
      <c r="F42" s="56"/>
      <c r="G42" s="66"/>
    </row>
    <row r="43" spans="1:7" x14ac:dyDescent="0.25">
      <c r="A43" s="54" t="s">
        <v>1494</v>
      </c>
      <c r="B43" s="88">
        <v>0</v>
      </c>
      <c r="C43" s="56"/>
      <c r="D43" s="56"/>
      <c r="E43" s="56"/>
      <c r="F43" s="56"/>
      <c r="G43" s="66"/>
    </row>
    <row r="44" spans="1:7" ht="30" x14ac:dyDescent="0.25">
      <c r="A44" s="84" t="s">
        <v>2011</v>
      </c>
      <c r="B44" s="85" t="s">
        <v>85</v>
      </c>
      <c r="C44" s="56"/>
      <c r="D44" s="56"/>
      <c r="E44" s="56"/>
      <c r="F44" s="56"/>
      <c r="G44" s="66"/>
    </row>
    <row r="45" spans="1:7" ht="30" x14ac:dyDescent="0.25">
      <c r="A45" s="84" t="s">
        <v>1495</v>
      </c>
      <c r="B45" s="85" t="s">
        <v>85</v>
      </c>
      <c r="C45" s="56"/>
      <c r="D45" s="56"/>
      <c r="E45" s="56"/>
      <c r="F45" s="56"/>
      <c r="G45" s="66"/>
    </row>
    <row r="46" spans="1:7" x14ac:dyDescent="0.25">
      <c r="A46" s="84" t="s">
        <v>1607</v>
      </c>
      <c r="B46" s="85" t="s">
        <v>85</v>
      </c>
      <c r="C46" s="56"/>
      <c r="D46" s="56"/>
      <c r="E46" s="56"/>
      <c r="F46" s="56"/>
      <c r="G46" s="66"/>
    </row>
    <row r="47" spans="1:7" x14ac:dyDescent="0.25">
      <c r="A47" s="54" t="s">
        <v>1608</v>
      </c>
      <c r="B47" s="85" t="s">
        <v>85</v>
      </c>
      <c r="C47" s="56"/>
      <c r="D47" s="56"/>
      <c r="E47" s="56"/>
      <c r="F47" s="56"/>
      <c r="G47" s="66"/>
    </row>
    <row r="48" spans="1:7" ht="15.75" thickBot="1" x14ac:dyDescent="0.3">
      <c r="A48" s="89"/>
      <c r="B48" s="90"/>
      <c r="C48" s="90"/>
      <c r="D48" s="90"/>
      <c r="E48" s="90"/>
      <c r="F48" s="90"/>
      <c r="G48" s="91"/>
    </row>
    <row r="51" spans="1:4" ht="30" x14ac:dyDescent="0.25">
      <c r="A51" s="107" t="s">
        <v>2042</v>
      </c>
      <c r="B51" s="108" t="s">
        <v>2043</v>
      </c>
      <c r="C51" s="108" t="s">
        <v>2044</v>
      </c>
      <c r="D51" s="109" t="s">
        <v>2045</v>
      </c>
    </row>
    <row r="52" spans="1:4" ht="50.25" customHeight="1" x14ac:dyDescent="0.25">
      <c r="A52" s="110" t="str">
        <f>HYPERLINK("[EDEL_Portfolio Monthly 28-Feb-2022.xlsx]EDFF25!A1","BHARAT Bond FOF - April 2025")</f>
        <v>BHARAT Bond FOF - April 2025</v>
      </c>
      <c r="B52" s="111"/>
      <c r="C52" s="112" t="s">
        <v>2047</v>
      </c>
      <c r="D52" s="113"/>
    </row>
  </sheetData>
  <mergeCells count="2">
    <mergeCell ref="A3:G3"/>
    <mergeCell ref="A4:G4"/>
  </mergeCells>
  <pageMargins left="0.7" right="0.7" top="0.75" bottom="0.75" header="0.3" footer="0.3"/>
  <pageSetup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2"/>
  <sheetViews>
    <sheetView showGridLines="0" workbookViewId="0">
      <pane ySplit="6" topLeftCell="A49"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27</v>
      </c>
      <c r="B3" s="139"/>
      <c r="C3" s="139"/>
      <c r="D3" s="139"/>
      <c r="E3" s="139"/>
      <c r="F3" s="139"/>
      <c r="G3" s="140"/>
      <c r="H3" s="46" t="str">
        <f>HYPERLINK("[EDEL_Portfolio HY 31032022.xlsx]Index!A1","Index")</f>
        <v>Index</v>
      </c>
    </row>
    <row r="4" spans="1:8" ht="19.5" customHeight="1" x14ac:dyDescent="0.25">
      <c r="A4" s="141" t="s">
        <v>28</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84</v>
      </c>
      <c r="B9" s="31"/>
      <c r="C9" s="31"/>
      <c r="D9" s="14"/>
      <c r="E9" s="52" t="s">
        <v>85</v>
      </c>
      <c r="F9" s="53" t="s">
        <v>85</v>
      </c>
      <c r="G9" s="75"/>
    </row>
    <row r="10" spans="1:8" x14ac:dyDescent="0.25">
      <c r="A10" s="74"/>
      <c r="B10" s="31"/>
      <c r="C10" s="31"/>
      <c r="D10" s="14"/>
      <c r="E10" s="15"/>
      <c r="F10" s="16"/>
      <c r="G10" s="75"/>
    </row>
    <row r="11" spans="1:8" x14ac:dyDescent="0.25">
      <c r="A11" s="74"/>
      <c r="B11" s="31"/>
      <c r="C11" s="31"/>
      <c r="D11" s="14"/>
      <c r="E11" s="15"/>
      <c r="F11" s="16"/>
      <c r="G11" s="75"/>
    </row>
    <row r="12" spans="1:8" x14ac:dyDescent="0.25">
      <c r="A12" s="76" t="s">
        <v>319</v>
      </c>
      <c r="B12" s="31"/>
      <c r="C12" s="31"/>
      <c r="D12" s="14"/>
      <c r="E12" s="15"/>
      <c r="F12" s="16"/>
      <c r="G12" s="75"/>
    </row>
    <row r="13" spans="1:8" x14ac:dyDescent="0.25">
      <c r="A13" s="74" t="s">
        <v>1822</v>
      </c>
      <c r="B13" s="31" t="s">
        <v>322</v>
      </c>
      <c r="C13" s="31"/>
      <c r="D13" s="14">
        <v>27183750.002099998</v>
      </c>
      <c r="E13" s="15">
        <v>327043.32</v>
      </c>
      <c r="F13" s="16">
        <v>1.0002</v>
      </c>
      <c r="G13" s="75"/>
    </row>
    <row r="14" spans="1:8" x14ac:dyDescent="0.25">
      <c r="A14" s="76" t="s">
        <v>90</v>
      </c>
      <c r="B14" s="32"/>
      <c r="C14" s="32"/>
      <c r="D14" s="18"/>
      <c r="E14" s="35">
        <v>327043.32</v>
      </c>
      <c r="F14" s="36">
        <v>1.0002</v>
      </c>
      <c r="G14" s="77"/>
    </row>
    <row r="15" spans="1:8" x14ac:dyDescent="0.25">
      <c r="A15" s="74"/>
      <c r="B15" s="31"/>
      <c r="C15" s="31"/>
      <c r="D15" s="14"/>
      <c r="E15" s="15"/>
      <c r="F15" s="16"/>
      <c r="G15" s="75"/>
    </row>
    <row r="16" spans="1:8" x14ac:dyDescent="0.25">
      <c r="A16" s="78" t="s">
        <v>93</v>
      </c>
      <c r="B16" s="79"/>
      <c r="C16" s="79"/>
      <c r="D16" s="80"/>
      <c r="E16" s="35">
        <v>327043.32</v>
      </c>
      <c r="F16" s="36">
        <v>1.0002</v>
      </c>
      <c r="G16" s="77"/>
    </row>
    <row r="17" spans="1:7" x14ac:dyDescent="0.25">
      <c r="A17" s="74"/>
      <c r="B17" s="31"/>
      <c r="C17" s="31"/>
      <c r="D17" s="14"/>
      <c r="E17" s="15"/>
      <c r="F17" s="16"/>
      <c r="G17" s="75"/>
    </row>
    <row r="18" spans="1:7" x14ac:dyDescent="0.25">
      <c r="A18" s="76" t="s">
        <v>110</v>
      </c>
      <c r="B18" s="31"/>
      <c r="C18" s="31"/>
      <c r="D18" s="14"/>
      <c r="E18" s="15"/>
      <c r="F18" s="16"/>
      <c r="G18" s="75"/>
    </row>
    <row r="19" spans="1:7" x14ac:dyDescent="0.25">
      <c r="A19" s="74" t="s">
        <v>111</v>
      </c>
      <c r="B19" s="31"/>
      <c r="C19" s="31"/>
      <c r="D19" s="14"/>
      <c r="E19" s="15">
        <v>1099.57</v>
      </c>
      <c r="F19" s="16">
        <v>3.3999999999999998E-3</v>
      </c>
      <c r="G19" s="75">
        <v>3.5790000000000002E-2</v>
      </c>
    </row>
    <row r="20" spans="1:7" x14ac:dyDescent="0.25">
      <c r="A20" s="76" t="s">
        <v>90</v>
      </c>
      <c r="B20" s="32"/>
      <c r="C20" s="32"/>
      <c r="D20" s="18"/>
      <c r="E20" s="35">
        <v>1099.57</v>
      </c>
      <c r="F20" s="36">
        <v>3.3999999999999998E-3</v>
      </c>
      <c r="G20" s="77"/>
    </row>
    <row r="21" spans="1:7" x14ac:dyDescent="0.25">
      <c r="A21" s="74"/>
      <c r="B21" s="31"/>
      <c r="C21" s="31"/>
      <c r="D21" s="14"/>
      <c r="E21" s="15"/>
      <c r="F21" s="16"/>
      <c r="G21" s="75"/>
    </row>
    <row r="22" spans="1:7" x14ac:dyDescent="0.25">
      <c r="A22" s="78" t="s">
        <v>93</v>
      </c>
      <c r="B22" s="79"/>
      <c r="C22" s="79"/>
      <c r="D22" s="80"/>
      <c r="E22" s="35">
        <v>1099.57</v>
      </c>
      <c r="F22" s="36">
        <v>3.3999999999999998E-3</v>
      </c>
      <c r="G22" s="77"/>
    </row>
    <row r="23" spans="1:7" x14ac:dyDescent="0.25">
      <c r="A23" s="74" t="s">
        <v>112</v>
      </c>
      <c r="B23" s="31"/>
      <c r="C23" s="31"/>
      <c r="D23" s="14"/>
      <c r="E23" s="15">
        <v>0.107818</v>
      </c>
      <c r="F23" s="53" t="s">
        <v>2022</v>
      </c>
      <c r="G23" s="75"/>
    </row>
    <row r="24" spans="1:7" x14ac:dyDescent="0.25">
      <c r="A24" s="74" t="s">
        <v>113</v>
      </c>
      <c r="B24" s="31"/>
      <c r="C24" s="31"/>
      <c r="D24" s="14"/>
      <c r="E24" s="24">
        <v>-1164.1178179999999</v>
      </c>
      <c r="F24" s="25">
        <v>-3.5999999999999999E-3</v>
      </c>
      <c r="G24" s="75">
        <v>3.5790000000000002E-2</v>
      </c>
    </row>
    <row r="25" spans="1:7" x14ac:dyDescent="0.25">
      <c r="A25" s="81" t="s">
        <v>114</v>
      </c>
      <c r="B25" s="34"/>
      <c r="C25" s="34"/>
      <c r="D25" s="27"/>
      <c r="E25" s="28">
        <v>326978.88</v>
      </c>
      <c r="F25" s="29">
        <v>1</v>
      </c>
      <c r="G25" s="82"/>
    </row>
    <row r="26" spans="1:7" x14ac:dyDescent="0.25">
      <c r="A26" s="54"/>
      <c r="B26" s="56"/>
      <c r="C26" s="56"/>
      <c r="D26" s="56"/>
      <c r="E26" s="56"/>
      <c r="F26" s="56"/>
      <c r="G26" s="66"/>
    </row>
    <row r="27" spans="1:7" x14ac:dyDescent="0.25">
      <c r="A27" s="83" t="s">
        <v>2023</v>
      </c>
      <c r="B27" s="56"/>
      <c r="C27" s="56"/>
      <c r="D27" s="56"/>
      <c r="E27" s="56"/>
      <c r="F27" s="56"/>
      <c r="G27" s="66"/>
    </row>
    <row r="28" spans="1:7" x14ac:dyDescent="0.25">
      <c r="A28" s="83"/>
      <c r="B28" s="56"/>
      <c r="C28" s="56"/>
      <c r="D28" s="56"/>
      <c r="E28" s="56"/>
      <c r="F28" s="56"/>
      <c r="G28" s="66"/>
    </row>
    <row r="29" spans="1:7" x14ac:dyDescent="0.25">
      <c r="A29" s="83" t="s">
        <v>1476</v>
      </c>
      <c r="B29" s="56"/>
      <c r="C29" s="56"/>
      <c r="D29" s="56"/>
      <c r="E29" s="56"/>
      <c r="F29" s="56"/>
      <c r="G29" s="66"/>
    </row>
    <row r="30" spans="1:7" x14ac:dyDescent="0.25">
      <c r="A30" s="84" t="s">
        <v>1477</v>
      </c>
      <c r="B30" s="85" t="s">
        <v>85</v>
      </c>
      <c r="C30" s="56"/>
      <c r="D30" s="56"/>
      <c r="E30" s="56"/>
      <c r="F30" s="56"/>
      <c r="G30" s="66"/>
    </row>
    <row r="31" spans="1:7" x14ac:dyDescent="0.25">
      <c r="A31" s="54" t="s">
        <v>1626</v>
      </c>
      <c r="B31" s="56"/>
      <c r="C31" s="56"/>
      <c r="D31" s="56"/>
      <c r="E31" s="56"/>
      <c r="F31" s="56"/>
      <c r="G31" s="66"/>
    </row>
    <row r="32" spans="1:7" x14ac:dyDescent="0.25">
      <c r="A32" s="54" t="s">
        <v>1478</v>
      </c>
      <c r="B32" s="85" t="s">
        <v>1479</v>
      </c>
      <c r="C32" s="85" t="s">
        <v>1479</v>
      </c>
      <c r="D32" s="56"/>
      <c r="E32" s="56"/>
      <c r="F32" s="56"/>
      <c r="G32" s="66"/>
    </row>
    <row r="33" spans="1:7" x14ac:dyDescent="0.25">
      <c r="A33" s="54"/>
      <c r="B33" s="86">
        <v>44469</v>
      </c>
      <c r="C33" s="86">
        <v>44651</v>
      </c>
      <c r="D33" s="56"/>
      <c r="E33" s="56"/>
      <c r="F33" s="56"/>
      <c r="G33" s="66"/>
    </row>
    <row r="34" spans="1:7" x14ac:dyDescent="0.25">
      <c r="A34" s="54" t="s">
        <v>1483</v>
      </c>
      <c r="B34" s="56">
        <v>11.779400000000001</v>
      </c>
      <c r="C34" s="56">
        <v>12.006399999999999</v>
      </c>
      <c r="D34" s="56"/>
      <c r="E34" s="59"/>
      <c r="F34" s="56"/>
      <c r="G34" s="87"/>
    </row>
    <row r="35" spans="1:7" x14ac:dyDescent="0.25">
      <c r="A35" s="54" t="s">
        <v>1484</v>
      </c>
      <c r="B35" s="56">
        <v>11.779400000000001</v>
      </c>
      <c r="C35" s="56">
        <v>12.006399999999999</v>
      </c>
      <c r="D35" s="56"/>
      <c r="E35" s="59"/>
      <c r="F35" s="56"/>
      <c r="G35" s="87"/>
    </row>
    <row r="36" spans="1:7" x14ac:dyDescent="0.25">
      <c r="A36" s="54" t="s">
        <v>1503</v>
      </c>
      <c r="B36" s="56">
        <v>11.779400000000001</v>
      </c>
      <c r="C36" s="56">
        <v>12.006399999999999</v>
      </c>
      <c r="D36" s="56"/>
      <c r="E36" s="59"/>
      <c r="F36" s="56"/>
      <c r="G36" s="87"/>
    </row>
    <row r="37" spans="1:7" x14ac:dyDescent="0.25">
      <c r="A37" s="54" t="s">
        <v>1504</v>
      </c>
      <c r="B37" s="56">
        <v>11.779400000000001</v>
      </c>
      <c r="C37" s="56">
        <v>12.006399999999999</v>
      </c>
      <c r="D37" s="56"/>
      <c r="E37" s="59"/>
      <c r="F37" s="56"/>
      <c r="G37" s="87"/>
    </row>
    <row r="38" spans="1:7" x14ac:dyDescent="0.25">
      <c r="A38" s="54"/>
      <c r="B38" s="56"/>
      <c r="C38" s="56"/>
      <c r="D38" s="56"/>
      <c r="E38" s="59"/>
      <c r="F38" s="56"/>
      <c r="G38" s="87"/>
    </row>
    <row r="39" spans="1:7" x14ac:dyDescent="0.25">
      <c r="A39" s="54" t="s">
        <v>2006</v>
      </c>
      <c r="B39" s="85" t="s">
        <v>85</v>
      </c>
      <c r="C39" s="56"/>
      <c r="D39" s="56"/>
      <c r="E39" s="56"/>
      <c r="F39" s="56"/>
      <c r="G39" s="66"/>
    </row>
    <row r="40" spans="1:7" x14ac:dyDescent="0.25">
      <c r="A40" s="54" t="s">
        <v>2008</v>
      </c>
      <c r="B40" s="85" t="s">
        <v>85</v>
      </c>
      <c r="C40" s="56"/>
      <c r="D40" s="56"/>
      <c r="E40" s="56"/>
      <c r="F40" s="56"/>
      <c r="G40" s="66"/>
    </row>
    <row r="41" spans="1:7" x14ac:dyDescent="0.25">
      <c r="A41" s="84" t="s">
        <v>2009</v>
      </c>
      <c r="B41" s="85" t="s">
        <v>85</v>
      </c>
      <c r="C41" s="56"/>
      <c r="D41" s="56"/>
      <c r="E41" s="56"/>
      <c r="F41" s="56"/>
      <c r="G41" s="66"/>
    </row>
    <row r="42" spans="1:7" x14ac:dyDescent="0.25">
      <c r="A42" s="84" t="s">
        <v>2010</v>
      </c>
      <c r="B42" s="85" t="s">
        <v>85</v>
      </c>
      <c r="C42" s="56"/>
      <c r="D42" s="56"/>
      <c r="E42" s="56"/>
      <c r="F42" s="56"/>
      <c r="G42" s="66"/>
    </row>
    <row r="43" spans="1:7" x14ac:dyDescent="0.25">
      <c r="A43" s="54" t="s">
        <v>1494</v>
      </c>
      <c r="B43" s="88">
        <v>2.6999999999999999E-5</v>
      </c>
      <c r="C43" s="56"/>
      <c r="D43" s="56"/>
      <c r="E43" s="56"/>
      <c r="F43" s="56"/>
      <c r="G43" s="66"/>
    </row>
    <row r="44" spans="1:7" ht="30" x14ac:dyDescent="0.25">
      <c r="A44" s="84" t="s">
        <v>2011</v>
      </c>
      <c r="B44" s="85" t="s">
        <v>85</v>
      </c>
      <c r="C44" s="56"/>
      <c r="D44" s="56"/>
      <c r="E44" s="56"/>
      <c r="F44" s="56"/>
      <c r="G44" s="66"/>
    </row>
    <row r="45" spans="1:7" ht="30" x14ac:dyDescent="0.25">
      <c r="A45" s="84" t="s">
        <v>1495</v>
      </c>
      <c r="B45" s="85" t="s">
        <v>85</v>
      </c>
      <c r="C45" s="56"/>
      <c r="D45" s="56"/>
      <c r="E45" s="56"/>
      <c r="F45" s="56"/>
      <c r="G45" s="66"/>
    </row>
    <row r="46" spans="1:7" x14ac:dyDescent="0.25">
      <c r="A46" s="54" t="s">
        <v>1607</v>
      </c>
      <c r="B46" s="85" t="s">
        <v>85</v>
      </c>
      <c r="C46" s="56"/>
      <c r="D46" s="56"/>
      <c r="E46" s="56"/>
      <c r="F46" s="56"/>
      <c r="G46" s="66"/>
    </row>
    <row r="47" spans="1:7" x14ac:dyDescent="0.25">
      <c r="A47" s="54" t="s">
        <v>1608</v>
      </c>
      <c r="B47" s="85" t="s">
        <v>85</v>
      </c>
      <c r="C47" s="56"/>
      <c r="D47" s="56"/>
      <c r="E47" s="56"/>
      <c r="F47" s="56"/>
      <c r="G47" s="66"/>
    </row>
    <row r="48" spans="1:7" ht="15.75" thickBot="1" x14ac:dyDescent="0.3">
      <c r="A48" s="89"/>
      <c r="B48" s="90"/>
      <c r="C48" s="90"/>
      <c r="D48" s="90"/>
      <c r="E48" s="90"/>
      <c r="F48" s="90"/>
      <c r="G48" s="91"/>
    </row>
    <row r="51" spans="1:4" ht="30" x14ac:dyDescent="0.25">
      <c r="A51" s="107" t="s">
        <v>2042</v>
      </c>
      <c r="B51" s="108" t="s">
        <v>2043</v>
      </c>
      <c r="C51" s="108" t="s">
        <v>2044</v>
      </c>
      <c r="D51" s="109" t="s">
        <v>2045</v>
      </c>
    </row>
    <row r="52" spans="1:4" ht="52.5" customHeight="1" x14ac:dyDescent="0.25">
      <c r="A52" s="110" t="str">
        <f>HYPERLINK("[EDEL_Portfolio Monthly 28-Feb-2022.xlsx]EDFF30!A1","BHARAT Bond FOF - April 2030")</f>
        <v>BHARAT Bond FOF - April 2030</v>
      </c>
      <c r="B52" s="111"/>
      <c r="C52" s="112" t="s">
        <v>2049</v>
      </c>
      <c r="D52" s="111"/>
    </row>
  </sheetData>
  <mergeCells count="2">
    <mergeCell ref="A3:G3"/>
    <mergeCell ref="A4:G4"/>
  </mergeCells>
  <pageMargins left="0.7" right="0.7" top="0.75" bottom="0.75" header="0.3" footer="0.3"/>
  <pageSetup orientation="portrait"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50"/>
  <sheetViews>
    <sheetView showGridLines="0" workbookViewId="0">
      <pane ySplit="6" topLeftCell="A45"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51" t="s">
        <v>2083</v>
      </c>
    </row>
    <row r="3" spans="1:8" ht="36.75" customHeight="1" x14ac:dyDescent="0.25">
      <c r="A3" s="144" t="s">
        <v>29</v>
      </c>
      <c r="B3" s="144"/>
      <c r="C3" s="144"/>
      <c r="D3" s="144"/>
      <c r="E3" s="144"/>
      <c r="F3" s="144"/>
      <c r="G3" s="144"/>
      <c r="H3" s="46" t="str">
        <f>HYPERLINK("[EDEL_Portfolio HY 31032022.xlsx]Index!A1","Index")</f>
        <v>Index</v>
      </c>
    </row>
    <row r="4" spans="1:8" ht="19.5" customHeight="1" x14ac:dyDescent="0.25">
      <c r="A4" s="144" t="s">
        <v>30</v>
      </c>
      <c r="B4" s="144"/>
      <c r="C4" s="144"/>
      <c r="D4" s="144"/>
      <c r="E4" s="144"/>
      <c r="F4" s="144"/>
      <c r="G4" s="144"/>
    </row>
    <row r="6" spans="1:8" ht="48" customHeight="1" x14ac:dyDescent="0.25">
      <c r="A6" s="4" t="s">
        <v>0</v>
      </c>
      <c r="B6" s="4" t="s">
        <v>1</v>
      </c>
      <c r="C6" s="4" t="s">
        <v>5</v>
      </c>
      <c r="D6" s="5" t="s">
        <v>2</v>
      </c>
      <c r="E6" s="6" t="s">
        <v>4</v>
      </c>
      <c r="F6" s="6" t="s">
        <v>3</v>
      </c>
      <c r="G6" s="7" t="s">
        <v>6</v>
      </c>
    </row>
    <row r="7" spans="1:8" x14ac:dyDescent="0.25">
      <c r="A7" s="8"/>
      <c r="B7" s="30"/>
      <c r="C7" s="30"/>
      <c r="D7" s="9"/>
      <c r="E7" s="10"/>
      <c r="F7" s="11"/>
      <c r="G7" s="12"/>
    </row>
    <row r="8" spans="1:8" x14ac:dyDescent="0.25">
      <c r="A8" s="13"/>
      <c r="B8" s="31"/>
      <c r="C8" s="31"/>
      <c r="D8" s="14"/>
      <c r="E8" s="15"/>
      <c r="F8" s="16"/>
      <c r="G8" s="16"/>
    </row>
    <row r="9" spans="1:8" x14ac:dyDescent="0.25">
      <c r="A9" s="17" t="s">
        <v>84</v>
      </c>
      <c r="B9" s="31"/>
      <c r="C9" s="31"/>
      <c r="D9" s="14"/>
      <c r="E9" s="52" t="s">
        <v>85</v>
      </c>
      <c r="F9" s="53" t="s">
        <v>85</v>
      </c>
      <c r="G9" s="16"/>
    </row>
    <row r="10" spans="1:8" x14ac:dyDescent="0.25">
      <c r="A10" s="13"/>
      <c r="B10" s="31"/>
      <c r="C10" s="31"/>
      <c r="D10" s="14"/>
      <c r="E10" s="15"/>
      <c r="F10" s="16"/>
      <c r="G10" s="16"/>
    </row>
    <row r="11" spans="1:8" x14ac:dyDescent="0.25">
      <c r="A11" s="17" t="s">
        <v>319</v>
      </c>
      <c r="B11" s="31"/>
      <c r="C11" s="31"/>
      <c r="D11" s="14"/>
      <c r="E11" s="15"/>
      <c r="F11" s="16"/>
      <c r="G11" s="16"/>
    </row>
    <row r="12" spans="1:8" x14ac:dyDescent="0.25">
      <c r="A12" s="13" t="s">
        <v>1823</v>
      </c>
      <c r="B12" s="31" t="s">
        <v>323</v>
      </c>
      <c r="C12" s="31"/>
      <c r="D12" s="14">
        <v>19386737</v>
      </c>
      <c r="E12" s="15">
        <v>208722.09</v>
      </c>
      <c r="F12" s="16">
        <v>1.0004999999999999</v>
      </c>
      <c r="G12" s="16"/>
    </row>
    <row r="13" spans="1:8" x14ac:dyDescent="0.25">
      <c r="A13" s="17" t="s">
        <v>90</v>
      </c>
      <c r="B13" s="32"/>
      <c r="C13" s="32"/>
      <c r="D13" s="18"/>
      <c r="E13" s="19">
        <v>208722.09</v>
      </c>
      <c r="F13" s="20">
        <v>1.0004999999999999</v>
      </c>
      <c r="G13" s="21"/>
    </row>
    <row r="14" spans="1:8" x14ac:dyDescent="0.25">
      <c r="A14" s="13"/>
      <c r="B14" s="31"/>
      <c r="C14" s="31"/>
      <c r="D14" s="14"/>
      <c r="E14" s="15"/>
      <c r="F14" s="16"/>
      <c r="G14" s="16"/>
    </row>
    <row r="15" spans="1:8" x14ac:dyDescent="0.25">
      <c r="A15" s="22" t="s">
        <v>93</v>
      </c>
      <c r="B15" s="33"/>
      <c r="C15" s="33"/>
      <c r="D15" s="23"/>
      <c r="E15" s="19">
        <v>208722.09</v>
      </c>
      <c r="F15" s="20">
        <v>1.0004999999999999</v>
      </c>
      <c r="G15" s="21"/>
    </row>
    <row r="16" spans="1:8" x14ac:dyDescent="0.25">
      <c r="A16" s="13"/>
      <c r="B16" s="31"/>
      <c r="C16" s="31"/>
      <c r="D16" s="14"/>
      <c r="E16" s="15"/>
      <c r="F16" s="16"/>
      <c r="G16" s="16"/>
    </row>
    <row r="17" spans="1:7" x14ac:dyDescent="0.25">
      <c r="A17" s="17" t="s">
        <v>110</v>
      </c>
      <c r="B17" s="31"/>
      <c r="C17" s="31"/>
      <c r="D17" s="14"/>
      <c r="E17" s="15"/>
      <c r="F17" s="16"/>
      <c r="G17" s="16"/>
    </row>
    <row r="18" spans="1:7" x14ac:dyDescent="0.25">
      <c r="A18" s="13" t="s">
        <v>111</v>
      </c>
      <c r="B18" s="31"/>
      <c r="C18" s="31"/>
      <c r="D18" s="14"/>
      <c r="E18" s="15">
        <v>246.9</v>
      </c>
      <c r="F18" s="16">
        <v>1.1999999999999999E-3</v>
      </c>
      <c r="G18" s="16">
        <v>3.5790000000000002E-2</v>
      </c>
    </row>
    <row r="19" spans="1:7" x14ac:dyDescent="0.25">
      <c r="A19" s="17" t="s">
        <v>90</v>
      </c>
      <c r="B19" s="32"/>
      <c r="C19" s="32"/>
      <c r="D19" s="18"/>
      <c r="E19" s="19">
        <v>246.9</v>
      </c>
      <c r="F19" s="20">
        <v>1.1999999999999999E-3</v>
      </c>
      <c r="G19" s="21"/>
    </row>
    <row r="20" spans="1:7" x14ac:dyDescent="0.25">
      <c r="A20" s="13"/>
      <c r="B20" s="31"/>
      <c r="C20" s="31"/>
      <c r="D20" s="14"/>
      <c r="E20" s="15"/>
      <c r="F20" s="16"/>
      <c r="G20" s="16"/>
    </row>
    <row r="21" spans="1:7" x14ac:dyDescent="0.25">
      <c r="A21" s="22" t="s">
        <v>93</v>
      </c>
      <c r="B21" s="33"/>
      <c r="C21" s="33"/>
      <c r="D21" s="23"/>
      <c r="E21" s="19">
        <v>246.9</v>
      </c>
      <c r="F21" s="20">
        <v>1.1999999999999999E-3</v>
      </c>
      <c r="G21" s="21"/>
    </row>
    <row r="22" spans="1:7" x14ac:dyDescent="0.25">
      <c r="A22" s="13" t="s">
        <v>112</v>
      </c>
      <c r="B22" s="31"/>
      <c r="C22" s="31"/>
      <c r="D22" s="14"/>
      <c r="E22" s="15">
        <v>2.4209999999999999E-2</v>
      </c>
      <c r="F22" s="53" t="s">
        <v>2022</v>
      </c>
      <c r="G22" s="16"/>
    </row>
    <row r="23" spans="1:7" x14ac:dyDescent="0.25">
      <c r="A23" s="13" t="s">
        <v>113</v>
      </c>
      <c r="B23" s="31"/>
      <c r="C23" s="31"/>
      <c r="D23" s="14"/>
      <c r="E23" s="24">
        <v>-355.60421000000002</v>
      </c>
      <c r="F23" s="25">
        <v>-1.6999999999999999E-3</v>
      </c>
      <c r="G23" s="16">
        <v>3.5790000000000002E-2</v>
      </c>
    </row>
    <row r="24" spans="1:7" x14ac:dyDescent="0.25">
      <c r="A24" s="26" t="s">
        <v>114</v>
      </c>
      <c r="B24" s="34"/>
      <c r="C24" s="34"/>
      <c r="D24" s="27"/>
      <c r="E24" s="28">
        <v>208613.41</v>
      </c>
      <c r="F24" s="29">
        <v>1</v>
      </c>
      <c r="G24" s="29"/>
    </row>
    <row r="26" spans="1:7" x14ac:dyDescent="0.25">
      <c r="A26" s="83" t="s">
        <v>2023</v>
      </c>
    </row>
    <row r="28" spans="1:7" x14ac:dyDescent="0.25">
      <c r="A28" s="1" t="s">
        <v>1476</v>
      </c>
    </row>
    <row r="29" spans="1:7" x14ac:dyDescent="0.25">
      <c r="A29" s="43" t="s">
        <v>1477</v>
      </c>
      <c r="B29" s="3" t="s">
        <v>85</v>
      </c>
    </row>
    <row r="30" spans="1:7" x14ac:dyDescent="0.25">
      <c r="A30" t="s">
        <v>1626</v>
      </c>
    </row>
    <row r="31" spans="1:7" x14ac:dyDescent="0.25">
      <c r="A31" t="s">
        <v>1478</v>
      </c>
      <c r="B31" s="3" t="s">
        <v>1479</v>
      </c>
      <c r="C31" s="3" t="s">
        <v>1479</v>
      </c>
    </row>
    <row r="32" spans="1:7" x14ac:dyDescent="0.25">
      <c r="B32" s="44">
        <v>44469</v>
      </c>
      <c r="C32" s="44">
        <v>44651</v>
      </c>
    </row>
    <row r="33" spans="1:7" x14ac:dyDescent="0.25">
      <c r="A33" t="s">
        <v>1483</v>
      </c>
      <c r="B33">
        <v>10.5726</v>
      </c>
      <c r="C33">
        <v>10.758599999999999</v>
      </c>
      <c r="E33" s="2"/>
      <c r="G33"/>
    </row>
    <row r="34" spans="1:7" x14ac:dyDescent="0.25">
      <c r="A34" t="s">
        <v>1484</v>
      </c>
      <c r="B34">
        <v>10.5726</v>
      </c>
      <c r="C34">
        <v>10.758599999999999</v>
      </c>
      <c r="E34" s="2"/>
      <c r="G34"/>
    </row>
    <row r="35" spans="1:7" x14ac:dyDescent="0.25">
      <c r="A35" t="s">
        <v>1503</v>
      </c>
      <c r="B35">
        <v>10.5726</v>
      </c>
      <c r="C35">
        <v>10.758599999999999</v>
      </c>
      <c r="E35" s="2"/>
      <c r="G35"/>
    </row>
    <row r="36" spans="1:7" x14ac:dyDescent="0.25">
      <c r="A36" t="s">
        <v>1504</v>
      </c>
      <c r="B36">
        <v>10.5726</v>
      </c>
      <c r="C36">
        <v>10.758599999999999</v>
      </c>
      <c r="E36" s="2"/>
      <c r="G36"/>
    </row>
    <row r="37" spans="1:7" x14ac:dyDescent="0.25">
      <c r="E37" s="2"/>
      <c r="G37"/>
    </row>
    <row r="38" spans="1:7" x14ac:dyDescent="0.25">
      <c r="A38" t="s">
        <v>2006</v>
      </c>
      <c r="B38" s="3" t="s">
        <v>85</v>
      </c>
    </row>
    <row r="39" spans="1:7" x14ac:dyDescent="0.25">
      <c r="A39" t="s">
        <v>2008</v>
      </c>
      <c r="B39" s="3" t="s">
        <v>85</v>
      </c>
    </row>
    <row r="40" spans="1:7" x14ac:dyDescent="0.25">
      <c r="A40" s="43" t="s">
        <v>2009</v>
      </c>
      <c r="B40" s="3" t="s">
        <v>85</v>
      </c>
    </row>
    <row r="41" spans="1:7" x14ac:dyDescent="0.25">
      <c r="A41" s="43" t="s">
        <v>2010</v>
      </c>
      <c r="B41" s="3" t="s">
        <v>85</v>
      </c>
    </row>
    <row r="42" spans="1:7" x14ac:dyDescent="0.25">
      <c r="A42" t="s">
        <v>1494</v>
      </c>
      <c r="B42" s="45">
        <v>9.0000000000000002E-6</v>
      </c>
    </row>
    <row r="43" spans="1:7" ht="30" x14ac:dyDescent="0.25">
      <c r="A43" s="43" t="s">
        <v>2011</v>
      </c>
      <c r="B43" s="3" t="s">
        <v>85</v>
      </c>
    </row>
    <row r="44" spans="1:7" ht="30" x14ac:dyDescent="0.25">
      <c r="A44" s="43" t="s">
        <v>1495</v>
      </c>
      <c r="B44" s="3" t="s">
        <v>85</v>
      </c>
    </row>
    <row r="45" spans="1:7" x14ac:dyDescent="0.25">
      <c r="A45" t="s">
        <v>1607</v>
      </c>
      <c r="B45" s="3" t="s">
        <v>85</v>
      </c>
    </row>
    <row r="46" spans="1:7" x14ac:dyDescent="0.25">
      <c r="A46" t="s">
        <v>1608</v>
      </c>
      <c r="B46" s="3" t="s">
        <v>85</v>
      </c>
    </row>
    <row r="49" spans="1:4" ht="30" x14ac:dyDescent="0.25">
      <c r="A49" s="107" t="s">
        <v>2042</v>
      </c>
      <c r="B49" s="108" t="s">
        <v>2043</v>
      </c>
      <c r="C49" s="108" t="s">
        <v>2044</v>
      </c>
      <c r="D49" s="109" t="s">
        <v>2045</v>
      </c>
    </row>
    <row r="50" spans="1:4" ht="47.25" customHeight="1" x14ac:dyDescent="0.25">
      <c r="A50" s="110" t="str">
        <f>HYPERLINK("[EDEL_Portfolio Monthly 28-Feb-2022.xlsx]EDFF31!A1","BHARAT Bond FOF - April 2031")</f>
        <v>BHARAT Bond FOF - April 2031</v>
      </c>
      <c r="B50" s="111"/>
      <c r="C50" s="112" t="s">
        <v>2050</v>
      </c>
      <c r="D50" s="111"/>
    </row>
  </sheetData>
  <mergeCells count="2">
    <mergeCell ref="A3:G3"/>
    <mergeCell ref="A4:G4"/>
  </mergeCells>
  <pageMargins left="0.7" right="0.7" top="0.75" bottom="0.75" header="0.3" footer="0.3"/>
  <pageSetup orientation="portrait"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51"/>
  <sheetViews>
    <sheetView showGridLines="0" workbookViewId="0">
      <pane ySplit="6" topLeftCell="A48"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2041</v>
      </c>
      <c r="B3" s="139"/>
      <c r="C3" s="139"/>
      <c r="D3" s="139"/>
      <c r="E3" s="139"/>
      <c r="F3" s="139"/>
      <c r="G3" s="140"/>
      <c r="H3" s="46" t="str">
        <f>HYPERLINK("[EDEL_Portfolio HY 31032022.xlsx]Index!A1","Index")</f>
        <v>Index</v>
      </c>
    </row>
    <row r="4" spans="1:8" ht="19.5" customHeight="1" x14ac:dyDescent="0.25">
      <c r="A4" s="141" t="s">
        <v>31</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84</v>
      </c>
      <c r="B9" s="31"/>
      <c r="C9" s="31"/>
      <c r="D9" s="14"/>
      <c r="E9" s="52" t="s">
        <v>85</v>
      </c>
      <c r="F9" s="53" t="s">
        <v>85</v>
      </c>
      <c r="G9" s="75"/>
    </row>
    <row r="10" spans="1:8" x14ac:dyDescent="0.25">
      <c r="A10" s="74"/>
      <c r="B10" s="31"/>
      <c r="C10" s="31"/>
      <c r="D10" s="14"/>
      <c r="E10" s="15"/>
      <c r="F10" s="16"/>
      <c r="G10" s="75"/>
    </row>
    <row r="11" spans="1:8" x14ac:dyDescent="0.25">
      <c r="A11" s="76" t="s">
        <v>319</v>
      </c>
      <c r="B11" s="31"/>
      <c r="C11" s="31"/>
      <c r="D11" s="14"/>
      <c r="E11" s="15"/>
      <c r="F11" s="16"/>
      <c r="G11" s="75"/>
    </row>
    <row r="12" spans="1:8" x14ac:dyDescent="0.25">
      <c r="A12" s="74" t="s">
        <v>1824</v>
      </c>
      <c r="B12" s="31" t="s">
        <v>324</v>
      </c>
      <c r="C12" s="31"/>
      <c r="D12" s="14">
        <v>5562127</v>
      </c>
      <c r="E12" s="15">
        <v>56184.87</v>
      </c>
      <c r="F12" s="16">
        <v>1.0127999999999999</v>
      </c>
      <c r="G12" s="75"/>
    </row>
    <row r="13" spans="1:8" x14ac:dyDescent="0.25">
      <c r="A13" s="76" t="s">
        <v>90</v>
      </c>
      <c r="B13" s="32"/>
      <c r="C13" s="32"/>
      <c r="D13" s="18"/>
      <c r="E13" s="35">
        <v>56184.87</v>
      </c>
      <c r="F13" s="36">
        <v>1.0127999999999999</v>
      </c>
      <c r="G13" s="77"/>
    </row>
    <row r="14" spans="1:8" x14ac:dyDescent="0.25">
      <c r="A14" s="74"/>
      <c r="B14" s="31"/>
      <c r="C14" s="31"/>
      <c r="D14" s="14"/>
      <c r="E14" s="15"/>
      <c r="F14" s="16"/>
      <c r="G14" s="75"/>
    </row>
    <row r="15" spans="1:8" x14ac:dyDescent="0.25">
      <c r="A15" s="78" t="s">
        <v>93</v>
      </c>
      <c r="B15" s="79"/>
      <c r="C15" s="79"/>
      <c r="D15" s="80"/>
      <c r="E15" s="35">
        <v>56184.87</v>
      </c>
      <c r="F15" s="36">
        <v>1.0127999999999999</v>
      </c>
      <c r="G15" s="77"/>
    </row>
    <row r="16" spans="1:8" x14ac:dyDescent="0.25">
      <c r="A16" s="74"/>
      <c r="B16" s="31"/>
      <c r="C16" s="31"/>
      <c r="D16" s="14"/>
      <c r="E16" s="15"/>
      <c r="F16" s="16"/>
      <c r="G16" s="75"/>
    </row>
    <row r="17" spans="1:7" x14ac:dyDescent="0.25">
      <c r="A17" s="76" t="s">
        <v>110</v>
      </c>
      <c r="B17" s="31"/>
      <c r="C17" s="31"/>
      <c r="D17" s="14"/>
      <c r="E17" s="15"/>
      <c r="F17" s="16"/>
      <c r="G17" s="75"/>
    </row>
    <row r="18" spans="1:7" x14ac:dyDescent="0.25">
      <c r="A18" s="74" t="s">
        <v>111</v>
      </c>
      <c r="B18" s="31"/>
      <c r="C18" s="31"/>
      <c r="D18" s="14"/>
      <c r="E18" s="15">
        <v>64.97</v>
      </c>
      <c r="F18" s="16">
        <v>1.1999999999999999E-3</v>
      </c>
      <c r="G18" s="75">
        <v>3.5790000000000002E-2</v>
      </c>
    </row>
    <row r="19" spans="1:7" x14ac:dyDescent="0.25">
      <c r="A19" s="76" t="s">
        <v>90</v>
      </c>
      <c r="B19" s="32"/>
      <c r="C19" s="32"/>
      <c r="D19" s="18"/>
      <c r="E19" s="35">
        <v>64.97</v>
      </c>
      <c r="F19" s="36">
        <v>1.1999999999999999E-3</v>
      </c>
      <c r="G19" s="77"/>
    </row>
    <row r="20" spans="1:7" x14ac:dyDescent="0.25">
      <c r="A20" s="74"/>
      <c r="B20" s="31"/>
      <c r="C20" s="31"/>
      <c r="D20" s="14"/>
      <c r="E20" s="15"/>
      <c r="F20" s="16"/>
      <c r="G20" s="75"/>
    </row>
    <row r="21" spans="1:7" x14ac:dyDescent="0.25">
      <c r="A21" s="78" t="s">
        <v>93</v>
      </c>
      <c r="B21" s="79"/>
      <c r="C21" s="79"/>
      <c r="D21" s="80"/>
      <c r="E21" s="35">
        <v>64.97</v>
      </c>
      <c r="F21" s="36">
        <v>1.1999999999999999E-3</v>
      </c>
      <c r="G21" s="77"/>
    </row>
    <row r="22" spans="1:7" x14ac:dyDescent="0.25">
      <c r="A22" s="74" t="s">
        <v>112</v>
      </c>
      <c r="B22" s="31"/>
      <c r="C22" s="31"/>
      <c r="D22" s="14"/>
      <c r="E22" s="15">
        <v>6.3711000000000002E-3</v>
      </c>
      <c r="F22" s="53" t="s">
        <v>2022</v>
      </c>
      <c r="G22" s="75"/>
    </row>
    <row r="23" spans="1:7" x14ac:dyDescent="0.25">
      <c r="A23" s="74" t="s">
        <v>113</v>
      </c>
      <c r="B23" s="31"/>
      <c r="C23" s="31"/>
      <c r="D23" s="14"/>
      <c r="E23" s="24">
        <v>-776.00637110000002</v>
      </c>
      <c r="F23" s="25">
        <v>-1.4E-2</v>
      </c>
      <c r="G23" s="75">
        <v>3.5790000000000002E-2</v>
      </c>
    </row>
    <row r="24" spans="1:7" x14ac:dyDescent="0.25">
      <c r="A24" s="81" t="s">
        <v>114</v>
      </c>
      <c r="B24" s="34"/>
      <c r="C24" s="34"/>
      <c r="D24" s="27"/>
      <c r="E24" s="28">
        <v>55473.84</v>
      </c>
      <c r="F24" s="29">
        <v>1</v>
      </c>
      <c r="G24" s="82"/>
    </row>
    <row r="25" spans="1:7" x14ac:dyDescent="0.25">
      <c r="A25" s="54"/>
      <c r="B25" s="56"/>
      <c r="C25" s="56"/>
      <c r="D25" s="56"/>
      <c r="E25" s="56"/>
      <c r="F25" s="56"/>
      <c r="G25" s="66"/>
    </row>
    <row r="26" spans="1:7" x14ac:dyDescent="0.25">
      <c r="A26" s="83" t="s">
        <v>2023</v>
      </c>
      <c r="B26" s="56"/>
      <c r="C26" s="56"/>
      <c r="D26" s="56"/>
      <c r="E26" s="56"/>
      <c r="F26" s="56"/>
      <c r="G26" s="66"/>
    </row>
    <row r="27" spans="1:7" x14ac:dyDescent="0.25">
      <c r="A27" s="54"/>
      <c r="B27" s="56"/>
      <c r="C27" s="56"/>
      <c r="D27" s="56"/>
      <c r="E27" s="56"/>
      <c r="F27" s="56"/>
      <c r="G27" s="66"/>
    </row>
    <row r="28" spans="1:7" x14ac:dyDescent="0.25">
      <c r="A28" s="83" t="s">
        <v>1476</v>
      </c>
      <c r="B28" s="56"/>
      <c r="C28" s="56"/>
      <c r="D28" s="56"/>
      <c r="E28" s="56"/>
      <c r="F28" s="56"/>
      <c r="G28" s="66"/>
    </row>
    <row r="29" spans="1:7" x14ac:dyDescent="0.25">
      <c r="A29" s="84" t="s">
        <v>1477</v>
      </c>
      <c r="B29" s="85" t="s">
        <v>85</v>
      </c>
      <c r="C29" s="56"/>
      <c r="D29" s="56"/>
      <c r="E29" s="56"/>
      <c r="F29" s="56"/>
      <c r="G29" s="66"/>
    </row>
    <row r="30" spans="1:7" x14ac:dyDescent="0.25">
      <c r="A30" s="54" t="s">
        <v>1626</v>
      </c>
      <c r="B30" s="56"/>
      <c r="C30" s="56"/>
      <c r="D30" s="56"/>
      <c r="E30" s="56"/>
      <c r="F30" s="56"/>
      <c r="G30" s="66"/>
    </row>
    <row r="31" spans="1:7" x14ac:dyDescent="0.25">
      <c r="A31" s="54" t="s">
        <v>1478</v>
      </c>
      <c r="B31" s="85" t="s">
        <v>1479</v>
      </c>
      <c r="C31" s="85" t="s">
        <v>1479</v>
      </c>
      <c r="D31" s="56"/>
      <c r="E31" s="56"/>
      <c r="F31" s="56"/>
      <c r="G31" s="66"/>
    </row>
    <row r="32" spans="1:7" x14ac:dyDescent="0.25">
      <c r="A32" s="54"/>
      <c r="B32" s="86">
        <v>44469</v>
      </c>
      <c r="C32" s="86">
        <v>44651</v>
      </c>
      <c r="D32" s="56"/>
      <c r="E32" s="56"/>
      <c r="F32" s="56"/>
      <c r="G32" s="66"/>
    </row>
    <row r="33" spans="1:7" x14ac:dyDescent="0.25">
      <c r="A33" s="54" t="s">
        <v>1483</v>
      </c>
      <c r="B33" s="85" t="s">
        <v>2013</v>
      </c>
      <c r="C33" s="56">
        <v>10.0999</v>
      </c>
      <c r="D33" s="56"/>
      <c r="E33" s="59"/>
      <c r="F33" s="56"/>
      <c r="G33" s="87"/>
    </row>
    <row r="34" spans="1:7" x14ac:dyDescent="0.25">
      <c r="A34" s="54" t="s">
        <v>1484</v>
      </c>
      <c r="B34" s="85" t="s">
        <v>2013</v>
      </c>
      <c r="C34" s="56">
        <v>10.0999</v>
      </c>
      <c r="D34" s="56"/>
      <c r="E34" s="59"/>
      <c r="F34" s="56"/>
      <c r="G34" s="87"/>
    </row>
    <row r="35" spans="1:7" x14ac:dyDescent="0.25">
      <c r="A35" s="54" t="s">
        <v>1503</v>
      </c>
      <c r="B35" s="85" t="s">
        <v>2013</v>
      </c>
      <c r="C35" s="56">
        <v>10.0999</v>
      </c>
      <c r="D35" s="56"/>
      <c r="E35" s="59"/>
      <c r="F35" s="56"/>
      <c r="G35" s="87"/>
    </row>
    <row r="36" spans="1:7" x14ac:dyDescent="0.25">
      <c r="A36" s="54" t="s">
        <v>1504</v>
      </c>
      <c r="B36" s="85" t="s">
        <v>2013</v>
      </c>
      <c r="C36" s="56">
        <v>10.0999</v>
      </c>
      <c r="D36" s="56"/>
      <c r="E36" s="59"/>
      <c r="F36" s="56"/>
      <c r="G36" s="87"/>
    </row>
    <row r="37" spans="1:7" x14ac:dyDescent="0.25">
      <c r="A37" s="54" t="s">
        <v>2014</v>
      </c>
      <c r="B37" s="56"/>
      <c r="C37" s="56"/>
      <c r="D37" s="56"/>
      <c r="E37" s="59"/>
      <c r="F37" s="56"/>
      <c r="G37" s="87"/>
    </row>
    <row r="38" spans="1:7" x14ac:dyDescent="0.25">
      <c r="A38" s="54"/>
      <c r="B38" s="56"/>
      <c r="C38" s="56"/>
      <c r="D38" s="56"/>
      <c r="E38" s="59"/>
      <c r="F38" s="56"/>
      <c r="G38" s="87"/>
    </row>
    <row r="39" spans="1:7" x14ac:dyDescent="0.25">
      <c r="A39" s="54" t="s">
        <v>2006</v>
      </c>
      <c r="B39" s="85" t="s">
        <v>85</v>
      </c>
      <c r="C39" s="56"/>
      <c r="D39" s="56"/>
      <c r="E39" s="56"/>
      <c r="F39" s="56"/>
      <c r="G39" s="66"/>
    </row>
    <row r="40" spans="1:7" x14ac:dyDescent="0.25">
      <c r="A40" s="54" t="s">
        <v>2008</v>
      </c>
      <c r="B40" s="85" t="s">
        <v>85</v>
      </c>
      <c r="C40" s="56"/>
      <c r="D40" s="56"/>
      <c r="E40" s="56"/>
      <c r="F40" s="56"/>
      <c r="G40" s="66"/>
    </row>
    <row r="41" spans="1:7" x14ac:dyDescent="0.25">
      <c r="A41" s="84" t="s">
        <v>2009</v>
      </c>
      <c r="B41" s="85" t="s">
        <v>85</v>
      </c>
      <c r="C41" s="56"/>
      <c r="D41" s="56"/>
      <c r="E41" s="56"/>
      <c r="F41" s="56"/>
      <c r="G41" s="66"/>
    </row>
    <row r="42" spans="1:7" x14ac:dyDescent="0.25">
      <c r="A42" s="84" t="s">
        <v>2010</v>
      </c>
      <c r="B42" s="85" t="s">
        <v>85</v>
      </c>
      <c r="C42" s="56"/>
      <c r="D42" s="56"/>
      <c r="E42" s="56"/>
      <c r="F42" s="56"/>
      <c r="G42" s="66"/>
    </row>
    <row r="43" spans="1:7" x14ac:dyDescent="0.25">
      <c r="A43" s="54" t="s">
        <v>1494</v>
      </c>
      <c r="B43" s="88">
        <v>9.0000000000000002E-6</v>
      </c>
      <c r="C43" s="56"/>
      <c r="D43" s="56"/>
      <c r="E43" s="56"/>
      <c r="F43" s="56"/>
      <c r="G43" s="66"/>
    </row>
    <row r="44" spans="1:7" ht="30" x14ac:dyDescent="0.25">
      <c r="A44" s="84" t="s">
        <v>2011</v>
      </c>
      <c r="B44" s="85" t="s">
        <v>85</v>
      </c>
      <c r="C44" s="56"/>
      <c r="D44" s="56"/>
      <c r="E44" s="56"/>
      <c r="F44" s="56"/>
      <c r="G44" s="66"/>
    </row>
    <row r="45" spans="1:7" ht="30" x14ac:dyDescent="0.25">
      <c r="A45" s="84" t="s">
        <v>1495</v>
      </c>
      <c r="B45" s="85" t="s">
        <v>85</v>
      </c>
      <c r="C45" s="56"/>
      <c r="D45" s="56"/>
      <c r="E45" s="56"/>
      <c r="F45" s="56"/>
      <c r="G45" s="66"/>
    </row>
    <row r="46" spans="1:7" x14ac:dyDescent="0.25">
      <c r="A46" s="54" t="s">
        <v>1607</v>
      </c>
      <c r="B46" s="85" t="s">
        <v>85</v>
      </c>
      <c r="C46" s="56"/>
      <c r="D46" s="56"/>
      <c r="E46" s="56"/>
      <c r="F46" s="56"/>
      <c r="G46" s="66"/>
    </row>
    <row r="47" spans="1:7" x14ac:dyDescent="0.25">
      <c r="A47" s="54" t="s">
        <v>1608</v>
      </c>
      <c r="B47" s="85" t="s">
        <v>85</v>
      </c>
      <c r="C47" s="56"/>
      <c r="D47" s="56"/>
      <c r="E47" s="56"/>
      <c r="F47" s="56"/>
      <c r="G47" s="66"/>
    </row>
    <row r="48" spans="1:7" ht="15.75" thickBot="1" x14ac:dyDescent="0.3">
      <c r="A48" s="89"/>
      <c r="B48" s="90"/>
      <c r="C48" s="90"/>
      <c r="D48" s="90"/>
      <c r="E48" s="90"/>
      <c r="F48" s="90"/>
      <c r="G48" s="91"/>
    </row>
    <row r="50" spans="1:4" ht="30" x14ac:dyDescent="0.25">
      <c r="A50" s="107" t="s">
        <v>2042</v>
      </c>
      <c r="B50" s="108" t="s">
        <v>2043</v>
      </c>
      <c r="C50" s="108" t="s">
        <v>2044</v>
      </c>
      <c r="D50" s="109" t="s">
        <v>2045</v>
      </c>
    </row>
    <row r="51" spans="1:4" ht="63" customHeight="1" x14ac:dyDescent="0.25">
      <c r="A51" s="110" t="str">
        <f>HYPERLINK("[EDEL_Portfolio Monthly 28-Feb-2022.xlsx]EDFF32!A1","BHARAT Bond FOF - April 2032")</f>
        <v>BHARAT Bond FOF - April 2032</v>
      </c>
      <c r="B51" s="114"/>
      <c r="C51" s="112" t="s">
        <v>2051</v>
      </c>
      <c r="D51" s="114"/>
    </row>
  </sheetData>
  <mergeCells count="2">
    <mergeCell ref="A3:G3"/>
    <mergeCell ref="A4:G4"/>
  </mergeCells>
  <pageMargins left="0.7" right="0.7" top="0.75" bottom="0.75" header="0.3" footer="0.3"/>
  <pageSetup orientation="portrait"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96"/>
  <sheetViews>
    <sheetView showGridLines="0" workbookViewId="0">
      <pane ySplit="6" topLeftCell="A93"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32</v>
      </c>
      <c r="B3" s="139"/>
      <c r="C3" s="139"/>
      <c r="D3" s="139"/>
      <c r="E3" s="139"/>
      <c r="F3" s="139"/>
      <c r="G3" s="140"/>
      <c r="H3" s="46" t="str">
        <f>HYPERLINK("[EDEL_Portfolio HY 31032022.xlsx]Index!A1","Index")</f>
        <v>Index</v>
      </c>
    </row>
    <row r="4" spans="1:8" ht="19.5" customHeight="1" x14ac:dyDescent="0.25">
      <c r="A4" s="141" t="s">
        <v>33</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84</v>
      </c>
      <c r="B9" s="31"/>
      <c r="C9" s="31"/>
      <c r="D9" s="14"/>
      <c r="E9" s="52" t="s">
        <v>85</v>
      </c>
      <c r="F9" s="53" t="s">
        <v>85</v>
      </c>
      <c r="G9" s="75"/>
    </row>
    <row r="10" spans="1:8" x14ac:dyDescent="0.25">
      <c r="A10" s="76" t="s">
        <v>86</v>
      </c>
      <c r="B10" s="31"/>
      <c r="C10" s="31"/>
      <c r="D10" s="14"/>
      <c r="E10" s="15"/>
      <c r="F10" s="16"/>
      <c r="G10" s="75"/>
    </row>
    <row r="11" spans="1:8" x14ac:dyDescent="0.25">
      <c r="A11" s="76" t="s">
        <v>325</v>
      </c>
      <c r="B11" s="31"/>
      <c r="C11" s="31"/>
      <c r="D11" s="14"/>
      <c r="E11" s="15"/>
      <c r="F11" s="16"/>
      <c r="G11" s="75"/>
    </row>
    <row r="12" spans="1:8" x14ac:dyDescent="0.25">
      <c r="A12" s="76" t="s">
        <v>90</v>
      </c>
      <c r="B12" s="31"/>
      <c r="C12" s="31"/>
      <c r="D12" s="14"/>
      <c r="E12" s="37" t="s">
        <v>85</v>
      </c>
      <c r="F12" s="38" t="s">
        <v>85</v>
      </c>
      <c r="G12" s="75"/>
    </row>
    <row r="13" spans="1:8" x14ac:dyDescent="0.25">
      <c r="A13" s="74"/>
      <c r="B13" s="31"/>
      <c r="C13" s="31"/>
      <c r="D13" s="14"/>
      <c r="E13" s="15"/>
      <c r="F13" s="16"/>
      <c r="G13" s="75"/>
    </row>
    <row r="14" spans="1:8" x14ac:dyDescent="0.25">
      <c r="A14" s="76" t="s">
        <v>195</v>
      </c>
      <c r="B14" s="31"/>
      <c r="C14" s="31"/>
      <c r="D14" s="14"/>
      <c r="E14" s="15"/>
      <c r="F14" s="16"/>
      <c r="G14" s="75"/>
    </row>
    <row r="15" spans="1:8" x14ac:dyDescent="0.25">
      <c r="A15" s="74" t="s">
        <v>1787</v>
      </c>
      <c r="B15" s="31" t="s">
        <v>286</v>
      </c>
      <c r="C15" s="31" t="s">
        <v>197</v>
      </c>
      <c r="D15" s="14">
        <v>2000000</v>
      </c>
      <c r="E15" s="15">
        <v>1960.38</v>
      </c>
      <c r="F15" s="16">
        <v>0.17419999999999999</v>
      </c>
      <c r="G15" s="75">
        <v>6.8186999999999998E-2</v>
      </c>
    </row>
    <row r="16" spans="1:8" x14ac:dyDescent="0.25">
      <c r="A16" s="74" t="s">
        <v>1786</v>
      </c>
      <c r="B16" s="31" t="s">
        <v>285</v>
      </c>
      <c r="C16" s="31" t="s">
        <v>197</v>
      </c>
      <c r="D16" s="14">
        <v>1500000</v>
      </c>
      <c r="E16" s="15">
        <v>1424.08</v>
      </c>
      <c r="F16" s="16">
        <v>0.1265</v>
      </c>
      <c r="G16" s="75">
        <v>6.8439E-2</v>
      </c>
    </row>
    <row r="17" spans="1:7" x14ac:dyDescent="0.25">
      <c r="A17" s="74" t="s">
        <v>1825</v>
      </c>
      <c r="B17" s="31" t="s">
        <v>326</v>
      </c>
      <c r="C17" s="31" t="s">
        <v>197</v>
      </c>
      <c r="D17" s="14">
        <v>1000000</v>
      </c>
      <c r="E17" s="15">
        <v>960.21</v>
      </c>
      <c r="F17" s="16">
        <v>8.5300000000000001E-2</v>
      </c>
      <c r="G17" s="75">
        <v>7.1279999999999996E-2</v>
      </c>
    </row>
    <row r="18" spans="1:7" x14ac:dyDescent="0.25">
      <c r="A18" s="74" t="s">
        <v>1826</v>
      </c>
      <c r="B18" s="31" t="s">
        <v>327</v>
      </c>
      <c r="C18" s="31" t="s">
        <v>197</v>
      </c>
      <c r="D18" s="14">
        <v>389100</v>
      </c>
      <c r="E18" s="15">
        <v>373.73</v>
      </c>
      <c r="F18" s="16">
        <v>3.32E-2</v>
      </c>
      <c r="G18" s="75">
        <v>7.2534000000000001E-2</v>
      </c>
    </row>
    <row r="19" spans="1:7" x14ac:dyDescent="0.25">
      <c r="A19" s="76" t="s">
        <v>90</v>
      </c>
      <c r="B19" s="32"/>
      <c r="C19" s="32"/>
      <c r="D19" s="18"/>
      <c r="E19" s="35">
        <v>4718.3999999999996</v>
      </c>
      <c r="F19" s="36">
        <v>0.41920000000000002</v>
      </c>
      <c r="G19" s="77"/>
    </row>
    <row r="20" spans="1:7" x14ac:dyDescent="0.25">
      <c r="A20" s="74"/>
      <c r="B20" s="31"/>
      <c r="C20" s="31"/>
      <c r="D20" s="14"/>
      <c r="E20" s="15"/>
      <c r="F20" s="16"/>
      <c r="G20" s="75"/>
    </row>
    <row r="21" spans="1:7" x14ac:dyDescent="0.25">
      <c r="A21" s="76" t="s">
        <v>308</v>
      </c>
      <c r="B21" s="31"/>
      <c r="C21" s="31"/>
      <c r="D21" s="14"/>
      <c r="E21" s="15"/>
      <c r="F21" s="16"/>
      <c r="G21" s="75"/>
    </row>
    <row r="22" spans="1:7" x14ac:dyDescent="0.25">
      <c r="A22" s="74" t="s">
        <v>1828</v>
      </c>
      <c r="B22" s="31" t="s">
        <v>328</v>
      </c>
      <c r="C22" s="31" t="s">
        <v>197</v>
      </c>
      <c r="D22" s="14">
        <v>500000</v>
      </c>
      <c r="E22" s="15">
        <v>529.09</v>
      </c>
      <c r="F22" s="16">
        <v>4.7E-2</v>
      </c>
      <c r="G22" s="75">
        <v>6.4100000000000004E-2</v>
      </c>
    </row>
    <row r="23" spans="1:7" x14ac:dyDescent="0.25">
      <c r="A23" s="74" t="s">
        <v>1827</v>
      </c>
      <c r="B23" s="31" t="s">
        <v>329</v>
      </c>
      <c r="C23" s="31" t="s">
        <v>197</v>
      </c>
      <c r="D23" s="14">
        <v>9100</v>
      </c>
      <c r="E23" s="15">
        <v>9.77</v>
      </c>
      <c r="F23" s="16">
        <v>8.9999999999999998E-4</v>
      </c>
      <c r="G23" s="75">
        <v>7.0199999999999999E-2</v>
      </c>
    </row>
    <row r="24" spans="1:7" x14ac:dyDescent="0.25">
      <c r="A24" s="76" t="s">
        <v>90</v>
      </c>
      <c r="B24" s="32"/>
      <c r="C24" s="32"/>
      <c r="D24" s="18"/>
      <c r="E24" s="35">
        <v>538.86</v>
      </c>
      <c r="F24" s="36">
        <v>4.7899999999999998E-2</v>
      </c>
      <c r="G24" s="77"/>
    </row>
    <row r="25" spans="1:7" x14ac:dyDescent="0.25">
      <c r="A25" s="74"/>
      <c r="B25" s="31"/>
      <c r="C25" s="31"/>
      <c r="D25" s="14"/>
      <c r="E25" s="15"/>
      <c r="F25" s="16"/>
      <c r="G25" s="75"/>
    </row>
    <row r="26" spans="1:7" x14ac:dyDescent="0.25">
      <c r="A26" s="74"/>
      <c r="B26" s="31"/>
      <c r="C26" s="31"/>
      <c r="D26" s="14"/>
      <c r="E26" s="15"/>
      <c r="F26" s="16"/>
      <c r="G26" s="75"/>
    </row>
    <row r="27" spans="1:7" x14ac:dyDescent="0.25">
      <c r="A27" s="76" t="s">
        <v>91</v>
      </c>
      <c r="B27" s="31"/>
      <c r="C27" s="31"/>
      <c r="D27" s="14"/>
      <c r="E27" s="15"/>
      <c r="F27" s="16"/>
      <c r="G27" s="75"/>
    </row>
    <row r="28" spans="1:7" x14ac:dyDescent="0.25">
      <c r="A28" s="76" t="s">
        <v>90</v>
      </c>
      <c r="B28" s="31"/>
      <c r="C28" s="31"/>
      <c r="D28" s="14"/>
      <c r="E28" s="37" t="s">
        <v>85</v>
      </c>
      <c r="F28" s="38" t="s">
        <v>85</v>
      </c>
      <c r="G28" s="75"/>
    </row>
    <row r="29" spans="1:7" x14ac:dyDescent="0.25">
      <c r="A29" s="74"/>
      <c r="B29" s="31"/>
      <c r="C29" s="31"/>
      <c r="D29" s="14"/>
      <c r="E29" s="15"/>
      <c r="F29" s="16"/>
      <c r="G29" s="75"/>
    </row>
    <row r="30" spans="1:7" x14ac:dyDescent="0.25">
      <c r="A30" s="76" t="s">
        <v>92</v>
      </c>
      <c r="B30" s="31"/>
      <c r="C30" s="31"/>
      <c r="D30" s="14"/>
      <c r="E30" s="15"/>
      <c r="F30" s="16"/>
      <c r="G30" s="75"/>
    </row>
    <row r="31" spans="1:7" x14ac:dyDescent="0.25">
      <c r="A31" s="76" t="s">
        <v>90</v>
      </c>
      <c r="B31" s="31"/>
      <c r="C31" s="31"/>
      <c r="D31" s="14"/>
      <c r="E31" s="37" t="s">
        <v>85</v>
      </c>
      <c r="F31" s="38" t="s">
        <v>85</v>
      </c>
      <c r="G31" s="75"/>
    </row>
    <row r="32" spans="1:7" x14ac:dyDescent="0.25">
      <c r="A32" s="74"/>
      <c r="B32" s="31"/>
      <c r="C32" s="31"/>
      <c r="D32" s="14"/>
      <c r="E32" s="15"/>
      <c r="F32" s="16"/>
      <c r="G32" s="75"/>
    </row>
    <row r="33" spans="1:7" x14ac:dyDescent="0.25">
      <c r="A33" s="78" t="s">
        <v>93</v>
      </c>
      <c r="B33" s="79"/>
      <c r="C33" s="79"/>
      <c r="D33" s="80"/>
      <c r="E33" s="35">
        <v>5257.26</v>
      </c>
      <c r="F33" s="36">
        <v>0.46710000000000002</v>
      </c>
      <c r="G33" s="77"/>
    </row>
    <row r="34" spans="1:7" x14ac:dyDescent="0.25">
      <c r="A34" s="74"/>
      <c r="B34" s="31"/>
      <c r="C34" s="31"/>
      <c r="D34" s="14"/>
      <c r="E34" s="15"/>
      <c r="F34" s="16"/>
      <c r="G34" s="75"/>
    </row>
    <row r="35" spans="1:7" x14ac:dyDescent="0.25">
      <c r="A35" s="76" t="s">
        <v>94</v>
      </c>
      <c r="B35" s="31"/>
      <c r="C35" s="31"/>
      <c r="D35" s="14"/>
      <c r="E35" s="15"/>
      <c r="F35" s="16"/>
      <c r="G35" s="75"/>
    </row>
    <row r="36" spans="1:7" x14ac:dyDescent="0.25">
      <c r="A36" s="74"/>
      <c r="B36" s="31"/>
      <c r="C36" s="31"/>
      <c r="D36" s="14"/>
      <c r="E36" s="15"/>
      <c r="F36" s="16"/>
      <c r="G36" s="75"/>
    </row>
    <row r="37" spans="1:7" x14ac:dyDescent="0.25">
      <c r="A37" s="76" t="s">
        <v>330</v>
      </c>
      <c r="B37" s="31"/>
      <c r="C37" s="31"/>
      <c r="D37" s="14"/>
      <c r="E37" s="15"/>
      <c r="F37" s="16"/>
      <c r="G37" s="75"/>
    </row>
    <row r="38" spans="1:7" x14ac:dyDescent="0.25">
      <c r="A38" s="74" t="s">
        <v>1829</v>
      </c>
      <c r="B38" s="31" t="s">
        <v>331</v>
      </c>
      <c r="C38" s="31" t="s">
        <v>197</v>
      </c>
      <c r="D38" s="14">
        <v>5000000</v>
      </c>
      <c r="E38" s="15">
        <v>4954.6499999999996</v>
      </c>
      <c r="F38" s="16">
        <v>0.44019999999999998</v>
      </c>
      <c r="G38" s="75">
        <v>3.7121000000000001E-2</v>
      </c>
    </row>
    <row r="39" spans="1:7" x14ac:dyDescent="0.25">
      <c r="A39" s="76" t="s">
        <v>90</v>
      </c>
      <c r="B39" s="32"/>
      <c r="C39" s="32"/>
      <c r="D39" s="18"/>
      <c r="E39" s="35">
        <v>4954.6499999999996</v>
      </c>
      <c r="F39" s="36">
        <v>0.44019999999999998</v>
      </c>
      <c r="G39" s="77"/>
    </row>
    <row r="40" spans="1:7" x14ac:dyDescent="0.25">
      <c r="A40" s="74"/>
      <c r="B40" s="31"/>
      <c r="C40" s="31"/>
      <c r="D40" s="14"/>
      <c r="E40" s="15"/>
      <c r="F40" s="16"/>
      <c r="G40" s="75"/>
    </row>
    <row r="41" spans="1:7" x14ac:dyDescent="0.25">
      <c r="A41" s="78" t="s">
        <v>93</v>
      </c>
      <c r="B41" s="79"/>
      <c r="C41" s="79"/>
      <c r="D41" s="80"/>
      <c r="E41" s="35">
        <v>4954.6499999999996</v>
      </c>
      <c r="F41" s="36">
        <v>0.44019999999999998</v>
      </c>
      <c r="G41" s="77"/>
    </row>
    <row r="42" spans="1:7" x14ac:dyDescent="0.25">
      <c r="A42" s="74"/>
      <c r="B42" s="31"/>
      <c r="C42" s="31"/>
      <c r="D42" s="14"/>
      <c r="E42" s="15"/>
      <c r="F42" s="16"/>
      <c r="G42" s="75"/>
    </row>
    <row r="43" spans="1:7" x14ac:dyDescent="0.25">
      <c r="A43" s="74"/>
      <c r="B43" s="31"/>
      <c r="C43" s="31"/>
      <c r="D43" s="14"/>
      <c r="E43" s="15"/>
      <c r="F43" s="16"/>
      <c r="G43" s="75"/>
    </row>
    <row r="44" spans="1:7" x14ac:dyDescent="0.25">
      <c r="A44" s="76" t="s">
        <v>110</v>
      </c>
      <c r="B44" s="31"/>
      <c r="C44" s="31"/>
      <c r="D44" s="14"/>
      <c r="E44" s="15"/>
      <c r="F44" s="16"/>
      <c r="G44" s="75"/>
    </row>
    <row r="45" spans="1:7" x14ac:dyDescent="0.25">
      <c r="A45" s="74" t="s">
        <v>111</v>
      </c>
      <c r="B45" s="31"/>
      <c r="C45" s="31"/>
      <c r="D45" s="14"/>
      <c r="E45" s="15">
        <v>7906.9</v>
      </c>
      <c r="F45" s="16">
        <v>0.70250000000000001</v>
      </c>
      <c r="G45" s="75">
        <v>3.5790000000000002E-2</v>
      </c>
    </row>
    <row r="46" spans="1:7" x14ac:dyDescent="0.25">
      <c r="A46" s="76" t="s">
        <v>90</v>
      </c>
      <c r="B46" s="32"/>
      <c r="C46" s="32"/>
      <c r="D46" s="18"/>
      <c r="E46" s="35">
        <v>7906.9</v>
      </c>
      <c r="F46" s="36">
        <v>0.70250000000000001</v>
      </c>
      <c r="G46" s="77"/>
    </row>
    <row r="47" spans="1:7" x14ac:dyDescent="0.25">
      <c r="A47" s="74"/>
      <c r="B47" s="31"/>
      <c r="C47" s="31"/>
      <c r="D47" s="14"/>
      <c r="E47" s="15"/>
      <c r="F47" s="16"/>
      <c r="G47" s="75"/>
    </row>
    <row r="48" spans="1:7" x14ac:dyDescent="0.25">
      <c r="A48" s="78" t="s">
        <v>93</v>
      </c>
      <c r="B48" s="79"/>
      <c r="C48" s="79"/>
      <c r="D48" s="80"/>
      <c r="E48" s="35">
        <v>7906.9</v>
      </c>
      <c r="F48" s="36">
        <v>0.70250000000000001</v>
      </c>
      <c r="G48" s="77"/>
    </row>
    <row r="49" spans="1:10" x14ac:dyDescent="0.25">
      <c r="A49" s="74" t="s">
        <v>112</v>
      </c>
      <c r="B49" s="31"/>
      <c r="C49" s="31"/>
      <c r="D49" s="14"/>
      <c r="E49" s="15">
        <v>78.163322899999997</v>
      </c>
      <c r="F49" s="16">
        <v>6.9439999999999997E-3</v>
      </c>
      <c r="G49" s="75"/>
    </row>
    <row r="50" spans="1:10" x14ac:dyDescent="0.25">
      <c r="A50" s="74" t="s">
        <v>113</v>
      </c>
      <c r="B50" s="31"/>
      <c r="C50" s="31"/>
      <c r="D50" s="14"/>
      <c r="E50" s="24">
        <v>-6941.6833229000003</v>
      </c>
      <c r="F50" s="25">
        <v>-0.61674399999999996</v>
      </c>
      <c r="G50" s="75">
        <v>3.5790000000000002E-2</v>
      </c>
    </row>
    <row r="51" spans="1:10" x14ac:dyDescent="0.25">
      <c r="A51" s="81" t="s">
        <v>114</v>
      </c>
      <c r="B51" s="34"/>
      <c r="C51" s="34"/>
      <c r="D51" s="27"/>
      <c r="E51" s="28">
        <v>11255.29</v>
      </c>
      <c r="F51" s="29">
        <v>1</v>
      </c>
      <c r="G51" s="82"/>
    </row>
    <row r="52" spans="1:10" x14ac:dyDescent="0.25">
      <c r="A52" s="54"/>
      <c r="B52" s="56"/>
      <c r="C52" s="56"/>
      <c r="D52" s="56"/>
      <c r="E52" s="56"/>
      <c r="F52" s="56"/>
      <c r="G52" s="66"/>
    </row>
    <row r="53" spans="1:10" x14ac:dyDescent="0.25">
      <c r="A53" s="54"/>
      <c r="B53" s="56"/>
      <c r="C53" s="56"/>
      <c r="D53" s="56"/>
      <c r="E53" s="56"/>
      <c r="F53" s="56"/>
      <c r="G53" s="66"/>
    </row>
    <row r="54" spans="1:10" x14ac:dyDescent="0.25">
      <c r="A54" s="83" t="s">
        <v>1476</v>
      </c>
      <c r="B54" s="56"/>
      <c r="C54" s="56"/>
      <c r="D54" s="56"/>
      <c r="E54" s="56"/>
      <c r="F54" s="56"/>
      <c r="G54" s="66"/>
    </row>
    <row r="55" spans="1:10" x14ac:dyDescent="0.25">
      <c r="A55" s="84" t="s">
        <v>1477</v>
      </c>
      <c r="B55" s="85" t="s">
        <v>85</v>
      </c>
      <c r="C55" s="56"/>
      <c r="D55" s="56"/>
      <c r="E55" s="56"/>
      <c r="F55" s="56"/>
      <c r="G55" s="66"/>
    </row>
    <row r="56" spans="1:10" x14ac:dyDescent="0.25">
      <c r="A56" s="54" t="s">
        <v>1626</v>
      </c>
      <c r="B56" s="56"/>
      <c r="C56" s="56"/>
      <c r="D56" s="56"/>
      <c r="E56" s="56"/>
      <c r="F56" s="56"/>
      <c r="G56" s="66"/>
    </row>
    <row r="57" spans="1:10" x14ac:dyDescent="0.25">
      <c r="A57" s="54" t="s">
        <v>1478</v>
      </c>
      <c r="B57" s="85" t="s">
        <v>1479</v>
      </c>
      <c r="C57" s="85" t="s">
        <v>1479</v>
      </c>
      <c r="D57" s="56"/>
      <c r="E57" s="56"/>
      <c r="F57" s="56"/>
      <c r="G57" s="66"/>
    </row>
    <row r="58" spans="1:10" x14ac:dyDescent="0.25">
      <c r="A58" s="54"/>
      <c r="B58" s="86">
        <v>44469</v>
      </c>
      <c r="C58" s="86">
        <v>44651</v>
      </c>
      <c r="D58" s="56"/>
      <c r="E58" s="56"/>
      <c r="F58" s="56"/>
      <c r="G58" s="66"/>
    </row>
    <row r="59" spans="1:10" x14ac:dyDescent="0.25">
      <c r="A59" s="54" t="s">
        <v>1480</v>
      </c>
      <c r="B59" s="85" t="s">
        <v>1482</v>
      </c>
      <c r="C59" s="85" t="s">
        <v>1482</v>
      </c>
      <c r="D59" s="56"/>
      <c r="E59" s="59"/>
      <c r="F59" s="56"/>
      <c r="G59" s="87"/>
      <c r="I59" s="54"/>
      <c r="J59" s="3"/>
    </row>
    <row r="60" spans="1:10" x14ac:dyDescent="0.25">
      <c r="A60" s="54" t="s">
        <v>1481</v>
      </c>
      <c r="B60" s="85" t="s">
        <v>1482</v>
      </c>
      <c r="C60" s="85" t="s">
        <v>1482</v>
      </c>
      <c r="D60" s="56"/>
      <c r="E60" s="59"/>
      <c r="F60" s="56"/>
      <c r="G60" s="87"/>
      <c r="I60" s="54"/>
      <c r="J60" s="3"/>
    </row>
    <row r="61" spans="1:10" x14ac:dyDescent="0.25">
      <c r="A61" s="54" t="s">
        <v>1499</v>
      </c>
      <c r="B61" s="85">
        <v>20.456900000000001</v>
      </c>
      <c r="C61" s="85">
        <v>20.346299999999999</v>
      </c>
      <c r="D61" s="56"/>
      <c r="E61" s="59"/>
      <c r="F61" s="56"/>
      <c r="G61" s="87"/>
      <c r="I61" s="54"/>
      <c r="J61" s="3"/>
    </row>
    <row r="62" spans="1:10" x14ac:dyDescent="0.25">
      <c r="A62" s="54" t="s">
        <v>1483</v>
      </c>
      <c r="B62" s="85">
        <v>20.539200000000001</v>
      </c>
      <c r="C62" s="85">
        <v>20.689900000000002</v>
      </c>
      <c r="D62" s="56"/>
      <c r="E62" s="59"/>
      <c r="F62" s="56"/>
      <c r="G62" s="87"/>
      <c r="I62" s="54"/>
      <c r="J62" s="3"/>
    </row>
    <row r="63" spans="1:10" x14ac:dyDescent="0.25">
      <c r="A63" s="54" t="s">
        <v>1484</v>
      </c>
      <c r="B63" s="85">
        <v>20.4573</v>
      </c>
      <c r="C63" s="85">
        <v>20.607399999999998</v>
      </c>
      <c r="D63" s="56"/>
      <c r="E63" s="59"/>
      <c r="F63" s="56"/>
      <c r="G63" s="87"/>
      <c r="I63" s="54"/>
      <c r="J63" s="3"/>
    </row>
    <row r="64" spans="1:10" x14ac:dyDescent="0.25">
      <c r="A64" s="54" t="s">
        <v>1500</v>
      </c>
      <c r="B64" s="85">
        <v>16.647400000000001</v>
      </c>
      <c r="C64" s="85">
        <v>16.645099999999999</v>
      </c>
      <c r="D64" s="56"/>
      <c r="E64" s="59"/>
      <c r="F64" s="56"/>
      <c r="G64" s="87"/>
      <c r="I64" s="54"/>
      <c r="J64" s="3"/>
    </row>
    <row r="65" spans="1:10" x14ac:dyDescent="0.25">
      <c r="A65" s="54" t="s">
        <v>1501</v>
      </c>
      <c r="B65" s="85">
        <v>16.974900000000002</v>
      </c>
      <c r="C65" s="85">
        <v>16.748200000000001</v>
      </c>
      <c r="D65" s="56"/>
      <c r="E65" s="59"/>
      <c r="F65" s="56"/>
      <c r="G65" s="87"/>
      <c r="I65" s="54"/>
      <c r="J65" s="3"/>
    </row>
    <row r="66" spans="1:10" x14ac:dyDescent="0.25">
      <c r="A66" s="54" t="s">
        <v>1488</v>
      </c>
      <c r="B66" s="85">
        <v>19.796600000000002</v>
      </c>
      <c r="C66" s="85">
        <v>19.877099999999999</v>
      </c>
      <c r="D66" s="56"/>
      <c r="E66" s="59"/>
      <c r="F66" s="56"/>
      <c r="G66" s="87"/>
      <c r="I66" s="54"/>
      <c r="J66" s="3"/>
    </row>
    <row r="67" spans="1:10" x14ac:dyDescent="0.25">
      <c r="A67" s="54" t="s">
        <v>1492</v>
      </c>
      <c r="B67" s="85" t="s">
        <v>1482</v>
      </c>
      <c r="C67" s="85" t="s">
        <v>1482</v>
      </c>
      <c r="D67" s="56"/>
      <c r="E67" s="59"/>
      <c r="F67" s="56"/>
      <c r="G67" s="87"/>
      <c r="I67" s="54"/>
      <c r="J67" s="3"/>
    </row>
    <row r="68" spans="1:10" x14ac:dyDescent="0.25">
      <c r="A68" s="54" t="s">
        <v>1502</v>
      </c>
      <c r="B68" s="85" t="s">
        <v>1482</v>
      </c>
      <c r="C68" s="85">
        <v>19.838799999999999</v>
      </c>
      <c r="D68" s="56"/>
      <c r="E68" s="59"/>
      <c r="F68" s="56"/>
      <c r="G68" s="87"/>
      <c r="I68" s="54"/>
      <c r="J68" s="3"/>
    </row>
    <row r="69" spans="1:10" x14ac:dyDescent="0.25">
      <c r="A69" s="54" t="s">
        <v>1503</v>
      </c>
      <c r="B69" s="85">
        <v>19.7879</v>
      </c>
      <c r="C69" s="85">
        <v>19.868400000000001</v>
      </c>
      <c r="D69" s="56"/>
      <c r="E69" s="59"/>
      <c r="F69" s="56"/>
      <c r="G69" s="87"/>
      <c r="I69" s="54"/>
      <c r="J69" s="3"/>
    </row>
    <row r="70" spans="1:10" x14ac:dyDescent="0.25">
      <c r="A70" s="54" t="s">
        <v>1504</v>
      </c>
      <c r="B70" s="85">
        <v>19.800699999999999</v>
      </c>
      <c r="C70" s="85">
        <v>19.8813</v>
      </c>
      <c r="D70" s="56"/>
      <c r="E70" s="59"/>
      <c r="F70" s="56"/>
      <c r="G70" s="87"/>
      <c r="I70" s="54"/>
      <c r="J70" s="3"/>
    </row>
    <row r="71" spans="1:10" x14ac:dyDescent="0.25">
      <c r="A71" s="54" t="s">
        <v>1505</v>
      </c>
      <c r="B71" s="85">
        <v>10.587400000000001</v>
      </c>
      <c r="C71" s="85">
        <v>10.524900000000001</v>
      </c>
      <c r="D71" s="56"/>
      <c r="E71" s="59"/>
      <c r="F71" s="56"/>
      <c r="G71" s="87"/>
      <c r="I71" s="54"/>
      <c r="J71" s="3"/>
    </row>
    <row r="72" spans="1:10" x14ac:dyDescent="0.25">
      <c r="A72" s="54" t="s">
        <v>1506</v>
      </c>
      <c r="B72" s="85">
        <v>10.268700000000001</v>
      </c>
      <c r="C72" s="85">
        <v>10.295299999999999</v>
      </c>
      <c r="D72" s="56"/>
      <c r="E72" s="59"/>
      <c r="F72" s="56"/>
      <c r="G72" s="87"/>
      <c r="I72" s="54"/>
      <c r="J72" s="3"/>
    </row>
    <row r="73" spans="1:10" x14ac:dyDescent="0.25">
      <c r="A73" s="54" t="s">
        <v>1493</v>
      </c>
      <c r="B73" s="56"/>
      <c r="C73" s="56"/>
      <c r="D73" s="56"/>
      <c r="E73" s="59"/>
      <c r="F73" s="56"/>
      <c r="G73" s="87"/>
    </row>
    <row r="74" spans="1:10" x14ac:dyDescent="0.25">
      <c r="A74" s="54"/>
      <c r="B74" s="56"/>
      <c r="C74" s="56"/>
      <c r="D74" s="56"/>
      <c r="E74" s="56"/>
      <c r="F74" s="56"/>
      <c r="G74" s="66"/>
    </row>
    <row r="75" spans="1:10" x14ac:dyDescent="0.25">
      <c r="A75" s="54" t="s">
        <v>2007</v>
      </c>
      <c r="B75" s="56"/>
      <c r="C75" s="56"/>
      <c r="D75" s="56"/>
      <c r="E75" s="56"/>
      <c r="F75" s="56"/>
      <c r="G75" s="66"/>
    </row>
    <row r="76" spans="1:10" x14ac:dyDescent="0.25">
      <c r="A76" s="54"/>
      <c r="B76" s="56"/>
      <c r="C76" s="56"/>
      <c r="D76" s="56"/>
      <c r="E76" s="56"/>
      <c r="F76" s="56"/>
      <c r="G76" s="66"/>
    </row>
    <row r="77" spans="1:10" x14ac:dyDescent="0.25">
      <c r="A77" s="93" t="s">
        <v>1507</v>
      </c>
      <c r="B77" s="94" t="s">
        <v>1508</v>
      </c>
      <c r="C77" s="95" t="s">
        <v>2018</v>
      </c>
      <c r="D77" s="95" t="s">
        <v>2019</v>
      </c>
      <c r="E77" s="56"/>
      <c r="F77" s="56"/>
      <c r="G77" s="66"/>
    </row>
    <row r="78" spans="1:10" x14ac:dyDescent="0.25">
      <c r="A78" s="96" t="s">
        <v>1512</v>
      </c>
      <c r="B78" s="97"/>
      <c r="C78" s="97">
        <v>0.35012900000000002</v>
      </c>
      <c r="D78" s="97">
        <v>0.35012900000000002</v>
      </c>
      <c r="E78" s="56"/>
      <c r="F78" s="56"/>
      <c r="G78" s="66"/>
    </row>
    <row r="79" spans="1:10" x14ac:dyDescent="0.25">
      <c r="A79" s="96" t="s">
        <v>1511</v>
      </c>
      <c r="B79" s="97"/>
      <c r="C79" s="97">
        <v>0.1241968</v>
      </c>
      <c r="D79" s="97">
        <v>0.1241968</v>
      </c>
      <c r="E79" s="56"/>
      <c r="F79" s="56"/>
      <c r="G79" s="66"/>
    </row>
    <row r="80" spans="1:10" x14ac:dyDescent="0.25">
      <c r="A80" s="96" t="s">
        <v>1514</v>
      </c>
      <c r="B80" s="97"/>
      <c r="C80" s="97">
        <v>0.25999359999999999</v>
      </c>
      <c r="D80" s="97">
        <v>0.25999359999999999</v>
      </c>
      <c r="E80" s="56"/>
      <c r="F80" s="56"/>
      <c r="G80" s="66"/>
    </row>
    <row r="81" spans="1:7" x14ac:dyDescent="0.25">
      <c r="A81" s="96" t="s">
        <v>1516</v>
      </c>
      <c r="B81" s="97"/>
      <c r="C81" s="97">
        <v>1.5883999999999999E-2</v>
      </c>
      <c r="D81" s="97">
        <v>1.5883999999999999E-2</v>
      </c>
      <c r="E81" s="56"/>
      <c r="F81" s="56"/>
      <c r="G81" s="66"/>
    </row>
    <row r="82" spans="1:7" x14ac:dyDescent="0.25">
      <c r="A82" s="96" t="s">
        <v>1517</v>
      </c>
      <c r="B82" s="97"/>
      <c r="C82" s="97">
        <v>0.10547869999999999</v>
      </c>
      <c r="D82" s="97">
        <v>0.10547869999999999</v>
      </c>
      <c r="E82" s="56"/>
      <c r="F82" s="56"/>
      <c r="G82" s="66"/>
    </row>
    <row r="83" spans="1:7" x14ac:dyDescent="0.25">
      <c r="A83" s="96" t="s">
        <v>1510</v>
      </c>
      <c r="B83" s="97"/>
      <c r="C83" s="97">
        <v>8.9525199999999999E-2</v>
      </c>
      <c r="D83" s="97">
        <v>8.9525199999999999E-2</v>
      </c>
      <c r="E83" s="56"/>
      <c r="F83" s="56"/>
      <c r="G83" s="66"/>
    </row>
    <row r="84" spans="1:7" x14ac:dyDescent="0.25">
      <c r="A84" s="54"/>
      <c r="B84" s="56"/>
      <c r="C84" s="56"/>
      <c r="D84" s="56"/>
      <c r="E84" s="56"/>
      <c r="F84" s="56"/>
      <c r="G84" s="66"/>
    </row>
    <row r="85" spans="1:7" x14ac:dyDescent="0.25">
      <c r="A85" s="54" t="s">
        <v>2008</v>
      </c>
      <c r="B85" s="85" t="s">
        <v>85</v>
      </c>
      <c r="C85" s="56"/>
      <c r="D85" s="56"/>
      <c r="E85" s="56"/>
      <c r="F85" s="56"/>
      <c r="G85" s="66"/>
    </row>
    <row r="86" spans="1:7" x14ac:dyDescent="0.25">
      <c r="A86" s="84" t="s">
        <v>2009</v>
      </c>
      <c r="B86" s="85" t="s">
        <v>85</v>
      </c>
      <c r="C86" s="56"/>
      <c r="D86" s="56"/>
      <c r="E86" s="56"/>
      <c r="F86" s="56"/>
      <c r="G86" s="66"/>
    </row>
    <row r="87" spans="1:7" x14ac:dyDescent="0.25">
      <c r="A87" s="84" t="s">
        <v>2010</v>
      </c>
      <c r="B87" s="85" t="s">
        <v>85</v>
      </c>
      <c r="C87" s="56"/>
      <c r="D87" s="56"/>
      <c r="E87" s="56"/>
      <c r="F87" s="56"/>
      <c r="G87" s="66"/>
    </row>
    <row r="88" spans="1:7" x14ac:dyDescent="0.25">
      <c r="A88" s="54" t="s">
        <v>1494</v>
      </c>
      <c r="B88" s="88">
        <v>3.6016207153024804</v>
      </c>
      <c r="C88" s="56"/>
      <c r="D88" s="56"/>
      <c r="E88" s="56"/>
      <c r="F88" s="56"/>
      <c r="G88" s="66"/>
    </row>
    <row r="89" spans="1:7" ht="30" x14ac:dyDescent="0.25">
      <c r="A89" s="84" t="s">
        <v>2011</v>
      </c>
      <c r="B89" s="85" t="s">
        <v>85</v>
      </c>
      <c r="C89" s="56"/>
      <c r="D89" s="56"/>
      <c r="E89" s="56"/>
      <c r="F89" s="56"/>
      <c r="G89" s="66"/>
    </row>
    <row r="90" spans="1:7" ht="30" x14ac:dyDescent="0.25">
      <c r="A90" s="84" t="s">
        <v>1495</v>
      </c>
      <c r="B90" s="85" t="s">
        <v>85</v>
      </c>
      <c r="C90" s="56"/>
      <c r="D90" s="56"/>
      <c r="E90" s="56"/>
      <c r="F90" s="56"/>
      <c r="G90" s="66"/>
    </row>
    <row r="91" spans="1:7" x14ac:dyDescent="0.25">
      <c r="A91" s="54" t="s">
        <v>1607</v>
      </c>
      <c r="B91" s="85" t="s">
        <v>85</v>
      </c>
      <c r="C91" s="56"/>
      <c r="D91" s="56"/>
      <c r="E91" s="56"/>
      <c r="F91" s="56"/>
      <c r="G91" s="66"/>
    </row>
    <row r="92" spans="1:7" x14ac:dyDescent="0.25">
      <c r="A92" s="54" t="s">
        <v>1608</v>
      </c>
      <c r="B92" s="85" t="s">
        <v>85</v>
      </c>
      <c r="C92" s="56"/>
      <c r="D92" s="56"/>
      <c r="E92" s="56"/>
      <c r="F92" s="56"/>
      <c r="G92" s="66"/>
    </row>
    <row r="93" spans="1:7" ht="15.75" thickBot="1" x14ac:dyDescent="0.3">
      <c r="A93" s="89"/>
      <c r="B93" s="90"/>
      <c r="C93" s="90"/>
      <c r="D93" s="90"/>
      <c r="E93" s="90"/>
      <c r="F93" s="90"/>
      <c r="G93" s="91"/>
    </row>
    <row r="95" spans="1:7" ht="30" x14ac:dyDescent="0.25">
      <c r="A95" s="107" t="s">
        <v>2042</v>
      </c>
      <c r="B95" s="108" t="s">
        <v>2043</v>
      </c>
      <c r="C95" s="108" t="s">
        <v>2044</v>
      </c>
      <c r="D95" s="109" t="s">
        <v>2045</v>
      </c>
    </row>
    <row r="96" spans="1:7" ht="63" customHeight="1" x14ac:dyDescent="0.25">
      <c r="A96" s="110" t="str">
        <f>HYPERLINK("[EDEL_Portfolio Monthly 28-Feb-2022.xlsx]EDGSEC!A1","Edelweiss Government Securities Fund")</f>
        <v>Edelweiss Government Securities Fund</v>
      </c>
      <c r="B96" s="111"/>
      <c r="C96" s="111" t="s">
        <v>2055</v>
      </c>
      <c r="D96" s="111"/>
    </row>
  </sheetData>
  <mergeCells count="2">
    <mergeCell ref="A3:G3"/>
    <mergeCell ref="A4:G4"/>
  </mergeCells>
  <pageMargins left="0.7" right="0.7" top="0.75" bottom="0.75" header="0.3" footer="0.3"/>
  <pageSetup orientation="portrait" horizontalDpi="300" verticalDpi="3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00"/>
  <sheetViews>
    <sheetView showGridLines="0" workbookViewId="0">
      <pane ySplit="6" topLeftCell="A97"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34</v>
      </c>
      <c r="B3" s="139"/>
      <c r="C3" s="139"/>
      <c r="D3" s="139"/>
      <c r="E3" s="139"/>
      <c r="F3" s="139"/>
      <c r="G3" s="140"/>
      <c r="H3" s="46" t="str">
        <f>HYPERLINK("[EDEL_Portfolio HY 31032022.xlsx]Index!A1","Index")</f>
        <v>Index</v>
      </c>
    </row>
    <row r="4" spans="1:8" ht="19.5" customHeight="1" x14ac:dyDescent="0.25">
      <c r="A4" s="141" t="s">
        <v>2016</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84</v>
      </c>
      <c r="B9" s="31"/>
      <c r="C9" s="31"/>
      <c r="D9" s="14"/>
      <c r="E9" s="52" t="s">
        <v>85</v>
      </c>
      <c r="F9" s="53" t="s">
        <v>85</v>
      </c>
      <c r="G9" s="75"/>
    </row>
    <row r="10" spans="1:8" x14ac:dyDescent="0.25">
      <c r="A10" s="74"/>
      <c r="B10" s="31"/>
      <c r="C10" s="31"/>
      <c r="D10" s="14"/>
      <c r="E10" s="15"/>
      <c r="F10" s="16"/>
      <c r="G10" s="75"/>
    </row>
    <row r="11" spans="1:8" x14ac:dyDescent="0.25">
      <c r="A11" s="76" t="s">
        <v>86</v>
      </c>
      <c r="B11" s="31"/>
      <c r="C11" s="31"/>
      <c r="D11" s="14"/>
      <c r="E11" s="15"/>
      <c r="F11" s="16"/>
      <c r="G11" s="75"/>
    </row>
    <row r="12" spans="1:8" x14ac:dyDescent="0.25">
      <c r="A12" s="76" t="s">
        <v>87</v>
      </c>
      <c r="B12" s="31"/>
      <c r="C12" s="31"/>
      <c r="D12" s="14"/>
      <c r="E12" s="15"/>
      <c r="F12" s="16"/>
      <c r="G12" s="75"/>
    </row>
    <row r="13" spans="1:8" x14ac:dyDescent="0.25">
      <c r="A13" s="74" t="s">
        <v>1830</v>
      </c>
      <c r="B13" s="31" t="s">
        <v>332</v>
      </c>
      <c r="C13" s="31" t="s">
        <v>121</v>
      </c>
      <c r="D13" s="14">
        <v>15000000</v>
      </c>
      <c r="E13" s="15">
        <v>14924.91</v>
      </c>
      <c r="F13" s="16">
        <v>7.8299999999999995E-2</v>
      </c>
      <c r="G13" s="75">
        <v>6.2575000000000006E-2</v>
      </c>
    </row>
    <row r="14" spans="1:8" x14ac:dyDescent="0.25">
      <c r="A14" s="74" t="s">
        <v>1831</v>
      </c>
      <c r="B14" s="31" t="s">
        <v>333</v>
      </c>
      <c r="C14" s="31" t="s">
        <v>121</v>
      </c>
      <c r="D14" s="14">
        <v>11000000</v>
      </c>
      <c r="E14" s="15">
        <v>11692.35</v>
      </c>
      <c r="F14" s="16">
        <v>6.13E-2</v>
      </c>
      <c r="G14" s="75">
        <v>6.3100000000000003E-2</v>
      </c>
    </row>
    <row r="15" spans="1:8" x14ac:dyDescent="0.25">
      <c r="A15" s="74" t="s">
        <v>1832</v>
      </c>
      <c r="B15" s="31" t="s">
        <v>334</v>
      </c>
      <c r="C15" s="31" t="s">
        <v>121</v>
      </c>
      <c r="D15" s="14">
        <v>8000000</v>
      </c>
      <c r="E15" s="15">
        <v>8534.9599999999991</v>
      </c>
      <c r="F15" s="16">
        <v>4.48E-2</v>
      </c>
      <c r="G15" s="75">
        <v>6.2700000000000006E-2</v>
      </c>
    </row>
    <row r="16" spans="1:8" x14ac:dyDescent="0.25">
      <c r="A16" s="74" t="s">
        <v>1833</v>
      </c>
      <c r="B16" s="31" t="s">
        <v>335</v>
      </c>
      <c r="C16" s="31" t="s">
        <v>121</v>
      </c>
      <c r="D16" s="14">
        <v>5000000</v>
      </c>
      <c r="E16" s="15">
        <v>5303.15</v>
      </c>
      <c r="F16" s="16">
        <v>2.7799999999999998E-2</v>
      </c>
      <c r="G16" s="75">
        <v>6.4798999999999995E-2</v>
      </c>
    </row>
    <row r="17" spans="1:7" x14ac:dyDescent="0.25">
      <c r="A17" s="74" t="s">
        <v>1834</v>
      </c>
      <c r="B17" s="31" t="s">
        <v>336</v>
      </c>
      <c r="C17" s="31" t="s">
        <v>121</v>
      </c>
      <c r="D17" s="14">
        <v>3000000</v>
      </c>
      <c r="E17" s="15">
        <v>3113.63</v>
      </c>
      <c r="F17" s="16">
        <v>1.6299999999999999E-2</v>
      </c>
      <c r="G17" s="75">
        <v>6.3100000000000003E-2</v>
      </c>
    </row>
    <row r="18" spans="1:7" x14ac:dyDescent="0.25">
      <c r="A18" s="74" t="s">
        <v>337</v>
      </c>
      <c r="B18" s="31" t="s">
        <v>338</v>
      </c>
      <c r="C18" s="31" t="s">
        <v>89</v>
      </c>
      <c r="D18" s="14">
        <v>3000000</v>
      </c>
      <c r="E18" s="15">
        <v>3105.9</v>
      </c>
      <c r="F18" s="16">
        <v>1.6299999999999999E-2</v>
      </c>
      <c r="G18" s="75">
        <v>6.2600000000000003E-2</v>
      </c>
    </row>
    <row r="19" spans="1:7" x14ac:dyDescent="0.25">
      <c r="A19" s="74" t="s">
        <v>1835</v>
      </c>
      <c r="B19" s="31" t="s">
        <v>339</v>
      </c>
      <c r="C19" s="31" t="s">
        <v>121</v>
      </c>
      <c r="D19" s="14">
        <v>2500000</v>
      </c>
      <c r="E19" s="15">
        <v>2607.16</v>
      </c>
      <c r="F19" s="16">
        <v>1.37E-2</v>
      </c>
      <c r="G19" s="75">
        <v>6.4047000000000007E-2</v>
      </c>
    </row>
    <row r="20" spans="1:7" x14ac:dyDescent="0.25">
      <c r="A20" s="74" t="s">
        <v>1836</v>
      </c>
      <c r="B20" s="31" t="s">
        <v>340</v>
      </c>
      <c r="C20" s="31" t="s">
        <v>121</v>
      </c>
      <c r="D20" s="14">
        <v>2500000</v>
      </c>
      <c r="E20" s="15">
        <v>2594.6999999999998</v>
      </c>
      <c r="F20" s="16">
        <v>1.3599999999999999E-2</v>
      </c>
      <c r="G20" s="75">
        <v>6.3496999999999998E-2</v>
      </c>
    </row>
    <row r="21" spans="1:7" x14ac:dyDescent="0.25">
      <c r="A21" s="74" t="s">
        <v>1837</v>
      </c>
      <c r="B21" s="31" t="s">
        <v>341</v>
      </c>
      <c r="C21" s="31" t="s">
        <v>121</v>
      </c>
      <c r="D21" s="14">
        <v>2000000</v>
      </c>
      <c r="E21" s="15">
        <v>2089.64</v>
      </c>
      <c r="F21" s="16">
        <v>1.0999999999999999E-2</v>
      </c>
      <c r="G21" s="75">
        <v>6.4047000000000007E-2</v>
      </c>
    </row>
    <row r="22" spans="1:7" x14ac:dyDescent="0.25">
      <c r="A22" s="74" t="s">
        <v>1838</v>
      </c>
      <c r="B22" s="31" t="s">
        <v>342</v>
      </c>
      <c r="C22" s="31" t="s">
        <v>118</v>
      </c>
      <c r="D22" s="14">
        <v>1500000</v>
      </c>
      <c r="E22" s="15">
        <v>1684.65</v>
      </c>
      <c r="F22" s="16">
        <v>8.8000000000000005E-3</v>
      </c>
      <c r="G22" s="75">
        <v>6.2700000000000006E-2</v>
      </c>
    </row>
    <row r="23" spans="1:7" x14ac:dyDescent="0.25">
      <c r="A23" s="76" t="s">
        <v>90</v>
      </c>
      <c r="B23" s="32"/>
      <c r="C23" s="32"/>
      <c r="D23" s="18"/>
      <c r="E23" s="35">
        <v>55651.05</v>
      </c>
      <c r="F23" s="36">
        <v>0.29189999999999999</v>
      </c>
      <c r="G23" s="77"/>
    </row>
    <row r="24" spans="1:7" x14ac:dyDescent="0.25">
      <c r="A24" s="76"/>
      <c r="B24" s="32"/>
      <c r="C24" s="32"/>
      <c r="D24" s="18"/>
      <c r="E24" s="42"/>
      <c r="F24" s="21"/>
      <c r="G24" s="77"/>
    </row>
    <row r="25" spans="1:7" x14ac:dyDescent="0.25">
      <c r="A25" s="76" t="s">
        <v>308</v>
      </c>
      <c r="B25" s="31"/>
      <c r="C25" s="31"/>
      <c r="D25" s="14"/>
      <c r="E25" s="15"/>
      <c r="F25" s="16"/>
      <c r="G25" s="75"/>
    </row>
    <row r="26" spans="1:7" x14ac:dyDescent="0.25">
      <c r="A26" s="74" t="s">
        <v>1839</v>
      </c>
      <c r="B26" s="31" t="s">
        <v>343</v>
      </c>
      <c r="C26" s="31" t="s">
        <v>197</v>
      </c>
      <c r="D26" s="14">
        <v>10000000</v>
      </c>
      <c r="E26" s="15">
        <v>10313.34</v>
      </c>
      <c r="F26" s="16">
        <v>5.4100000000000002E-2</v>
      </c>
      <c r="G26" s="75">
        <v>6.4299999999999996E-2</v>
      </c>
    </row>
    <row r="27" spans="1:7" x14ac:dyDescent="0.25">
      <c r="A27" s="74" t="s">
        <v>1840</v>
      </c>
      <c r="B27" s="31" t="s">
        <v>328</v>
      </c>
      <c r="C27" s="31" t="s">
        <v>197</v>
      </c>
      <c r="D27" s="14">
        <v>9500000</v>
      </c>
      <c r="E27" s="15">
        <v>10052.67</v>
      </c>
      <c r="F27" s="16">
        <v>5.2699999999999997E-2</v>
      </c>
      <c r="G27" s="75">
        <v>6.4100000000000004E-2</v>
      </c>
    </row>
    <row r="28" spans="1:7" x14ac:dyDescent="0.25">
      <c r="A28" s="74" t="s">
        <v>1841</v>
      </c>
      <c r="B28" s="31" t="s">
        <v>344</v>
      </c>
      <c r="C28" s="31" t="s">
        <v>197</v>
      </c>
      <c r="D28" s="14">
        <v>9000000</v>
      </c>
      <c r="E28" s="15">
        <v>9072.68</v>
      </c>
      <c r="F28" s="16">
        <v>4.7600000000000003E-2</v>
      </c>
      <c r="G28" s="75">
        <v>6.3885999999999998E-2</v>
      </c>
    </row>
    <row r="29" spans="1:7" x14ac:dyDescent="0.25">
      <c r="A29" s="74" t="s">
        <v>1842</v>
      </c>
      <c r="B29" s="31" t="s">
        <v>345</v>
      </c>
      <c r="C29" s="31" t="s">
        <v>197</v>
      </c>
      <c r="D29" s="14">
        <v>8500000</v>
      </c>
      <c r="E29" s="15">
        <v>8975.0300000000007</v>
      </c>
      <c r="F29" s="16">
        <v>4.7100000000000003E-2</v>
      </c>
      <c r="G29" s="75">
        <v>6.4049999999999996E-2</v>
      </c>
    </row>
    <row r="30" spans="1:7" x14ac:dyDescent="0.25">
      <c r="A30" s="74" t="s">
        <v>1843</v>
      </c>
      <c r="B30" s="31" t="s">
        <v>346</v>
      </c>
      <c r="C30" s="31" t="s">
        <v>197</v>
      </c>
      <c r="D30" s="14">
        <v>8500000</v>
      </c>
      <c r="E30" s="15">
        <v>8972.85</v>
      </c>
      <c r="F30" s="16">
        <v>4.7100000000000003E-2</v>
      </c>
      <c r="G30" s="75">
        <v>6.4399999999999999E-2</v>
      </c>
    </row>
    <row r="31" spans="1:7" x14ac:dyDescent="0.25">
      <c r="A31" s="74" t="s">
        <v>1844</v>
      </c>
      <c r="B31" s="31" t="s">
        <v>347</v>
      </c>
      <c r="C31" s="31" t="s">
        <v>197</v>
      </c>
      <c r="D31" s="14">
        <v>8500000</v>
      </c>
      <c r="E31" s="15">
        <v>8909.5300000000007</v>
      </c>
      <c r="F31" s="16">
        <v>4.6699999999999998E-2</v>
      </c>
      <c r="G31" s="75">
        <v>6.4199999999999993E-2</v>
      </c>
    </row>
    <row r="32" spans="1:7" x14ac:dyDescent="0.25">
      <c r="A32" s="74" t="s">
        <v>1845</v>
      </c>
      <c r="B32" s="31" t="s">
        <v>348</v>
      </c>
      <c r="C32" s="31" t="s">
        <v>197</v>
      </c>
      <c r="D32" s="14">
        <v>7500000</v>
      </c>
      <c r="E32" s="15">
        <v>8080.77</v>
      </c>
      <c r="F32" s="16">
        <v>4.24E-2</v>
      </c>
      <c r="G32" s="75">
        <v>6.4777000000000001E-2</v>
      </c>
    </row>
    <row r="33" spans="1:7" x14ac:dyDescent="0.25">
      <c r="A33" s="74" t="s">
        <v>1846</v>
      </c>
      <c r="B33" s="31" t="s">
        <v>349</v>
      </c>
      <c r="C33" s="31" t="s">
        <v>197</v>
      </c>
      <c r="D33" s="14">
        <v>6000000</v>
      </c>
      <c r="E33" s="15">
        <v>6370.1</v>
      </c>
      <c r="F33" s="16">
        <v>3.3399999999999999E-2</v>
      </c>
      <c r="G33" s="75">
        <v>6.4449999999999993E-2</v>
      </c>
    </row>
    <row r="34" spans="1:7" x14ac:dyDescent="0.25">
      <c r="A34" s="74" t="s">
        <v>1847</v>
      </c>
      <c r="B34" s="31" t="s">
        <v>350</v>
      </c>
      <c r="C34" s="31" t="s">
        <v>197</v>
      </c>
      <c r="D34" s="14">
        <v>5500000</v>
      </c>
      <c r="E34" s="15">
        <v>5774.21</v>
      </c>
      <c r="F34" s="16">
        <v>3.0300000000000001E-2</v>
      </c>
      <c r="G34" s="75">
        <v>6.4000000000000001E-2</v>
      </c>
    </row>
    <row r="35" spans="1:7" x14ac:dyDescent="0.25">
      <c r="A35" s="74" t="s">
        <v>1848</v>
      </c>
      <c r="B35" s="31" t="s">
        <v>351</v>
      </c>
      <c r="C35" s="31" t="s">
        <v>197</v>
      </c>
      <c r="D35" s="14">
        <v>5500000</v>
      </c>
      <c r="E35" s="15">
        <v>5765.73</v>
      </c>
      <c r="F35" s="16">
        <v>3.0200000000000001E-2</v>
      </c>
      <c r="G35" s="75">
        <v>6.4169000000000004E-2</v>
      </c>
    </row>
    <row r="36" spans="1:7" x14ac:dyDescent="0.25">
      <c r="A36" s="74" t="s">
        <v>1849</v>
      </c>
      <c r="B36" s="31" t="s">
        <v>352</v>
      </c>
      <c r="C36" s="31" t="s">
        <v>197</v>
      </c>
      <c r="D36" s="14">
        <v>5000000</v>
      </c>
      <c r="E36" s="15">
        <v>5277.35</v>
      </c>
      <c r="F36" s="16">
        <v>2.7699999999999999E-2</v>
      </c>
      <c r="G36" s="75">
        <v>6.4049999999999996E-2</v>
      </c>
    </row>
    <row r="37" spans="1:7" x14ac:dyDescent="0.25">
      <c r="A37" s="74" t="s">
        <v>1850</v>
      </c>
      <c r="B37" s="31" t="s">
        <v>353</v>
      </c>
      <c r="C37" s="31" t="s">
        <v>197</v>
      </c>
      <c r="D37" s="14">
        <v>5000000</v>
      </c>
      <c r="E37" s="15">
        <v>5277.08</v>
      </c>
      <c r="F37" s="16">
        <v>2.7699999999999999E-2</v>
      </c>
      <c r="G37" s="75">
        <v>6.4449999999999993E-2</v>
      </c>
    </row>
    <row r="38" spans="1:7" x14ac:dyDescent="0.25">
      <c r="A38" s="74" t="s">
        <v>1851</v>
      </c>
      <c r="B38" s="31" t="s">
        <v>354</v>
      </c>
      <c r="C38" s="31" t="s">
        <v>197</v>
      </c>
      <c r="D38" s="14">
        <v>5000000</v>
      </c>
      <c r="E38" s="15">
        <v>5247.46</v>
      </c>
      <c r="F38" s="16">
        <v>2.75E-2</v>
      </c>
      <c r="G38" s="75">
        <v>6.4086000000000004E-2</v>
      </c>
    </row>
    <row r="39" spans="1:7" x14ac:dyDescent="0.25">
      <c r="A39" s="74" t="s">
        <v>1852</v>
      </c>
      <c r="B39" s="31" t="s">
        <v>355</v>
      </c>
      <c r="C39" s="31" t="s">
        <v>197</v>
      </c>
      <c r="D39" s="14">
        <v>5000000</v>
      </c>
      <c r="E39" s="15">
        <v>5238.78</v>
      </c>
      <c r="F39" s="16">
        <v>2.75E-2</v>
      </c>
      <c r="G39" s="75">
        <v>6.4299999999999996E-2</v>
      </c>
    </row>
    <row r="40" spans="1:7" x14ac:dyDescent="0.25">
      <c r="A40" s="74" t="s">
        <v>1853</v>
      </c>
      <c r="B40" s="31" t="s">
        <v>356</v>
      </c>
      <c r="C40" s="31" t="s">
        <v>197</v>
      </c>
      <c r="D40" s="14">
        <v>4500000</v>
      </c>
      <c r="E40" s="15">
        <v>4712.99</v>
      </c>
      <c r="F40" s="16">
        <v>2.47E-2</v>
      </c>
      <c r="G40" s="75">
        <v>6.4399999999999999E-2</v>
      </c>
    </row>
    <row r="41" spans="1:7" x14ac:dyDescent="0.25">
      <c r="A41" s="74" t="s">
        <v>1854</v>
      </c>
      <c r="B41" s="31" t="s">
        <v>357</v>
      </c>
      <c r="C41" s="31" t="s">
        <v>197</v>
      </c>
      <c r="D41" s="14">
        <v>4500000</v>
      </c>
      <c r="E41" s="15">
        <v>4560.51</v>
      </c>
      <c r="F41" s="16">
        <v>2.3900000000000001E-2</v>
      </c>
      <c r="G41" s="75">
        <v>6.4000000000000001E-2</v>
      </c>
    </row>
    <row r="42" spans="1:7" x14ac:dyDescent="0.25">
      <c r="A42" s="74" t="s">
        <v>1855</v>
      </c>
      <c r="B42" s="31" t="s">
        <v>358</v>
      </c>
      <c r="C42" s="31" t="s">
        <v>197</v>
      </c>
      <c r="D42" s="14">
        <v>3500000</v>
      </c>
      <c r="E42" s="15">
        <v>3678.47</v>
      </c>
      <c r="F42" s="16">
        <v>1.9300000000000001E-2</v>
      </c>
      <c r="G42" s="75">
        <v>6.4299999999999996E-2</v>
      </c>
    </row>
    <row r="43" spans="1:7" x14ac:dyDescent="0.25">
      <c r="A43" s="74" t="s">
        <v>1856</v>
      </c>
      <c r="B43" s="31" t="s">
        <v>359</v>
      </c>
      <c r="C43" s="31" t="s">
        <v>197</v>
      </c>
      <c r="D43" s="14">
        <v>2500000</v>
      </c>
      <c r="E43" s="15">
        <v>2652.81</v>
      </c>
      <c r="F43" s="16">
        <v>1.3899999999999999E-2</v>
      </c>
      <c r="G43" s="75">
        <v>6.4000000000000001E-2</v>
      </c>
    </row>
    <row r="44" spans="1:7" x14ac:dyDescent="0.25">
      <c r="A44" s="74" t="s">
        <v>1857</v>
      </c>
      <c r="B44" s="31" t="s">
        <v>360</v>
      </c>
      <c r="C44" s="31" t="s">
        <v>197</v>
      </c>
      <c r="D44" s="14">
        <v>2500000</v>
      </c>
      <c r="E44" s="15">
        <v>2651.76</v>
      </c>
      <c r="F44" s="16">
        <v>1.3899999999999999E-2</v>
      </c>
      <c r="G44" s="75">
        <v>6.4000000000000001E-2</v>
      </c>
    </row>
    <row r="45" spans="1:7" x14ac:dyDescent="0.25">
      <c r="A45" s="74" t="s">
        <v>1858</v>
      </c>
      <c r="B45" s="31" t="s">
        <v>361</v>
      </c>
      <c r="C45" s="31" t="s">
        <v>197</v>
      </c>
      <c r="D45" s="14">
        <v>2000000</v>
      </c>
      <c r="E45" s="15">
        <v>2100.37</v>
      </c>
      <c r="F45" s="16">
        <v>1.0999999999999999E-2</v>
      </c>
      <c r="G45" s="75">
        <v>6.4000000000000001E-2</v>
      </c>
    </row>
    <row r="46" spans="1:7" x14ac:dyDescent="0.25">
      <c r="A46" s="74" t="s">
        <v>1859</v>
      </c>
      <c r="B46" s="31" t="s">
        <v>362</v>
      </c>
      <c r="C46" s="31" t="s">
        <v>197</v>
      </c>
      <c r="D46" s="14">
        <v>2000000</v>
      </c>
      <c r="E46" s="15">
        <v>2062.65</v>
      </c>
      <c r="F46" s="16">
        <v>1.0800000000000001E-2</v>
      </c>
      <c r="G46" s="75">
        <v>6.4399999999999999E-2</v>
      </c>
    </row>
    <row r="47" spans="1:7" x14ac:dyDescent="0.25">
      <c r="A47" s="74" t="s">
        <v>1860</v>
      </c>
      <c r="B47" s="31" t="s">
        <v>363</v>
      </c>
      <c r="C47" s="31" t="s">
        <v>197</v>
      </c>
      <c r="D47" s="14">
        <v>1500000</v>
      </c>
      <c r="E47" s="15">
        <v>1573.23</v>
      </c>
      <c r="F47" s="16">
        <v>8.2000000000000007E-3</v>
      </c>
      <c r="G47" s="75">
        <v>6.4049999999999996E-2</v>
      </c>
    </row>
    <row r="48" spans="1:7" x14ac:dyDescent="0.25">
      <c r="A48" s="74" t="s">
        <v>1861</v>
      </c>
      <c r="B48" s="31" t="s">
        <v>364</v>
      </c>
      <c r="C48" s="31" t="s">
        <v>197</v>
      </c>
      <c r="D48" s="14">
        <v>1500000</v>
      </c>
      <c r="E48" s="15">
        <v>1544.75</v>
      </c>
      <c r="F48" s="16">
        <v>8.0999999999999996E-3</v>
      </c>
      <c r="G48" s="75">
        <v>6.4117999999999994E-2</v>
      </c>
    </row>
    <row r="49" spans="1:7" x14ac:dyDescent="0.25">
      <c r="A49" s="74" t="s">
        <v>1862</v>
      </c>
      <c r="B49" s="31" t="s">
        <v>365</v>
      </c>
      <c r="C49" s="31" t="s">
        <v>197</v>
      </c>
      <c r="D49" s="14">
        <v>1000000</v>
      </c>
      <c r="E49" s="15">
        <v>1050.3399999999999</v>
      </c>
      <c r="F49" s="16">
        <v>5.4999999999999997E-3</v>
      </c>
      <c r="G49" s="75">
        <v>6.4449999999999993E-2</v>
      </c>
    </row>
    <row r="50" spans="1:7" x14ac:dyDescent="0.25">
      <c r="A50" s="74" t="s">
        <v>1863</v>
      </c>
      <c r="B50" s="31" t="s">
        <v>366</v>
      </c>
      <c r="C50" s="31" t="s">
        <v>197</v>
      </c>
      <c r="D50" s="14">
        <v>1000000</v>
      </c>
      <c r="E50" s="15">
        <v>1032.58</v>
      </c>
      <c r="F50" s="16">
        <v>5.4000000000000003E-3</v>
      </c>
      <c r="G50" s="75">
        <v>6.4000000000000001E-2</v>
      </c>
    </row>
    <row r="51" spans="1:7" x14ac:dyDescent="0.25">
      <c r="A51" s="74" t="s">
        <v>1864</v>
      </c>
      <c r="B51" s="31" t="s">
        <v>367</v>
      </c>
      <c r="C51" s="31" t="s">
        <v>197</v>
      </c>
      <c r="D51" s="14">
        <v>500000</v>
      </c>
      <c r="E51" s="15">
        <v>515.16</v>
      </c>
      <c r="F51" s="16">
        <v>2.7000000000000001E-3</v>
      </c>
      <c r="G51" s="75">
        <v>6.4000000000000001E-2</v>
      </c>
    </row>
    <row r="52" spans="1:7" x14ac:dyDescent="0.25">
      <c r="A52" s="76" t="s">
        <v>90</v>
      </c>
      <c r="B52" s="32"/>
      <c r="C52" s="32"/>
      <c r="D52" s="18"/>
      <c r="E52" s="35">
        <v>131463.20000000001</v>
      </c>
      <c r="F52" s="36">
        <v>0.68940000000000001</v>
      </c>
      <c r="G52" s="77"/>
    </row>
    <row r="53" spans="1:7" x14ac:dyDescent="0.25">
      <c r="A53" s="74"/>
      <c r="B53" s="31"/>
      <c r="C53" s="31"/>
      <c r="D53" s="14"/>
      <c r="E53" s="15"/>
      <c r="F53" s="16"/>
      <c r="G53" s="75"/>
    </row>
    <row r="54" spans="1:7" x14ac:dyDescent="0.25">
      <c r="A54" s="74"/>
      <c r="B54" s="31"/>
      <c r="C54" s="31"/>
      <c r="D54" s="14"/>
      <c r="E54" s="15"/>
      <c r="F54" s="16"/>
      <c r="G54" s="75"/>
    </row>
    <row r="55" spans="1:7" x14ac:dyDescent="0.25">
      <c r="A55" s="76" t="s">
        <v>91</v>
      </c>
      <c r="B55" s="31"/>
      <c r="C55" s="31"/>
      <c r="D55" s="14"/>
      <c r="E55" s="15"/>
      <c r="F55" s="16"/>
      <c r="G55" s="75"/>
    </row>
    <row r="56" spans="1:7" x14ac:dyDescent="0.25">
      <c r="A56" s="76" t="s">
        <v>90</v>
      </c>
      <c r="B56" s="31"/>
      <c r="C56" s="31"/>
      <c r="D56" s="14"/>
      <c r="E56" s="37" t="s">
        <v>85</v>
      </c>
      <c r="F56" s="38" t="s">
        <v>85</v>
      </c>
      <c r="G56" s="75"/>
    </row>
    <row r="57" spans="1:7" x14ac:dyDescent="0.25">
      <c r="A57" s="74"/>
      <c r="B57" s="31"/>
      <c r="C57" s="31"/>
      <c r="D57" s="14"/>
      <c r="E57" s="15"/>
      <c r="F57" s="16"/>
      <c r="G57" s="75"/>
    </row>
    <row r="58" spans="1:7" x14ac:dyDescent="0.25">
      <c r="A58" s="76" t="s">
        <v>92</v>
      </c>
      <c r="B58" s="31"/>
      <c r="C58" s="31"/>
      <c r="D58" s="14"/>
      <c r="E58" s="15"/>
      <c r="F58" s="16"/>
      <c r="G58" s="75"/>
    </row>
    <row r="59" spans="1:7" x14ac:dyDescent="0.25">
      <c r="A59" s="76" t="s">
        <v>90</v>
      </c>
      <c r="B59" s="31"/>
      <c r="C59" s="31"/>
      <c r="D59" s="14"/>
      <c r="E59" s="37" t="s">
        <v>85</v>
      </c>
      <c r="F59" s="38" t="s">
        <v>85</v>
      </c>
      <c r="G59" s="75"/>
    </row>
    <row r="60" spans="1:7" x14ac:dyDescent="0.25">
      <c r="A60" s="74"/>
      <c r="B60" s="31"/>
      <c r="C60" s="31"/>
      <c r="D60" s="14"/>
      <c r="E60" s="15"/>
      <c r="F60" s="16"/>
      <c r="G60" s="75"/>
    </row>
    <row r="61" spans="1:7" x14ac:dyDescent="0.25">
      <c r="A61" s="78" t="s">
        <v>93</v>
      </c>
      <c r="B61" s="79"/>
      <c r="C61" s="79"/>
      <c r="D61" s="80"/>
      <c r="E61" s="35">
        <v>187114.25</v>
      </c>
      <c r="F61" s="36">
        <v>0.98129999999999995</v>
      </c>
      <c r="G61" s="77"/>
    </row>
    <row r="62" spans="1:7" x14ac:dyDescent="0.25">
      <c r="A62" s="74"/>
      <c r="B62" s="31"/>
      <c r="C62" s="31"/>
      <c r="D62" s="14"/>
      <c r="E62" s="15"/>
      <c r="F62" s="16"/>
      <c r="G62" s="75"/>
    </row>
    <row r="63" spans="1:7" x14ac:dyDescent="0.25">
      <c r="A63" s="74"/>
      <c r="B63" s="31"/>
      <c r="C63" s="31"/>
      <c r="D63" s="14"/>
      <c r="E63" s="15"/>
      <c r="F63" s="16"/>
      <c r="G63" s="75"/>
    </row>
    <row r="64" spans="1:7" x14ac:dyDescent="0.25">
      <c r="A64" s="76" t="s">
        <v>110</v>
      </c>
      <c r="B64" s="31"/>
      <c r="C64" s="31"/>
      <c r="D64" s="14"/>
      <c r="E64" s="15"/>
      <c r="F64" s="16"/>
      <c r="G64" s="75"/>
    </row>
    <row r="65" spans="1:7" x14ac:dyDescent="0.25">
      <c r="A65" s="74" t="s">
        <v>111</v>
      </c>
      <c r="B65" s="31"/>
      <c r="C65" s="31"/>
      <c r="D65" s="14"/>
      <c r="E65" s="15">
        <v>7032.24</v>
      </c>
      <c r="F65" s="16">
        <v>3.6900000000000002E-2</v>
      </c>
      <c r="G65" s="75">
        <v>3.5790000000000002E-2</v>
      </c>
    </row>
    <row r="66" spans="1:7" x14ac:dyDescent="0.25">
      <c r="A66" s="76" t="s">
        <v>90</v>
      </c>
      <c r="B66" s="32"/>
      <c r="C66" s="32"/>
      <c r="D66" s="18"/>
      <c r="E66" s="35">
        <v>7032.24</v>
      </c>
      <c r="F66" s="36">
        <v>3.6900000000000002E-2</v>
      </c>
      <c r="G66" s="77"/>
    </row>
    <row r="67" spans="1:7" x14ac:dyDescent="0.25">
      <c r="A67" s="74"/>
      <c r="B67" s="31"/>
      <c r="C67" s="31"/>
      <c r="D67" s="14"/>
      <c r="E67" s="15"/>
      <c r="F67" s="16"/>
      <c r="G67" s="75"/>
    </row>
    <row r="68" spans="1:7" x14ac:dyDescent="0.25">
      <c r="A68" s="78" t="s">
        <v>93</v>
      </c>
      <c r="B68" s="79"/>
      <c r="C68" s="79"/>
      <c r="D68" s="80"/>
      <c r="E68" s="35">
        <v>7032.24</v>
      </c>
      <c r="F68" s="36">
        <v>3.6900000000000002E-2</v>
      </c>
      <c r="G68" s="77"/>
    </row>
    <row r="69" spans="1:7" x14ac:dyDescent="0.25">
      <c r="A69" s="74" t="s">
        <v>112</v>
      </c>
      <c r="B69" s="31"/>
      <c r="C69" s="31"/>
      <c r="D69" s="14"/>
      <c r="E69" s="15">
        <v>1860.1218793</v>
      </c>
      <c r="F69" s="16">
        <v>9.7529999999999995E-3</v>
      </c>
      <c r="G69" s="75"/>
    </row>
    <row r="70" spans="1:7" x14ac:dyDescent="0.25">
      <c r="A70" s="74" t="s">
        <v>113</v>
      </c>
      <c r="B70" s="31"/>
      <c r="C70" s="31"/>
      <c r="D70" s="14"/>
      <c r="E70" s="24">
        <v>-5302.9218793</v>
      </c>
      <c r="F70" s="25">
        <v>-2.7952999999999999E-2</v>
      </c>
      <c r="G70" s="75">
        <v>3.5790000000000002E-2</v>
      </c>
    </row>
    <row r="71" spans="1:7" x14ac:dyDescent="0.25">
      <c r="A71" s="81" t="s">
        <v>114</v>
      </c>
      <c r="B71" s="34"/>
      <c r="C71" s="34"/>
      <c r="D71" s="27"/>
      <c r="E71" s="28">
        <v>190703.69</v>
      </c>
      <c r="F71" s="29">
        <v>1</v>
      </c>
      <c r="G71" s="82"/>
    </row>
    <row r="72" spans="1:7" x14ac:dyDescent="0.25">
      <c r="A72" s="54"/>
      <c r="B72" s="56"/>
      <c r="C72" s="56"/>
      <c r="D72" s="56"/>
      <c r="E72" s="56"/>
      <c r="F72" s="56"/>
      <c r="G72" s="66"/>
    </row>
    <row r="73" spans="1:7" x14ac:dyDescent="0.25">
      <c r="A73" s="83" t="s">
        <v>116</v>
      </c>
      <c r="B73" s="56"/>
      <c r="C73" s="56"/>
      <c r="D73" s="56"/>
      <c r="E73" s="56"/>
      <c r="F73" s="56"/>
      <c r="G73" s="66"/>
    </row>
    <row r="74" spans="1:7" x14ac:dyDescent="0.25">
      <c r="A74" s="54"/>
      <c r="B74" s="56"/>
      <c r="C74" s="56"/>
      <c r="D74" s="56"/>
      <c r="E74" s="56"/>
      <c r="F74" s="56"/>
      <c r="G74" s="66"/>
    </row>
    <row r="75" spans="1:7" x14ac:dyDescent="0.25">
      <c r="A75" s="54"/>
      <c r="B75" s="56"/>
      <c r="C75" s="56"/>
      <c r="D75" s="56"/>
      <c r="E75" s="56"/>
      <c r="F75" s="56"/>
      <c r="G75" s="66"/>
    </row>
    <row r="76" spans="1:7" x14ac:dyDescent="0.25">
      <c r="A76" s="83" t="s">
        <v>1476</v>
      </c>
      <c r="B76" s="56"/>
      <c r="C76" s="56"/>
      <c r="D76" s="56"/>
      <c r="E76" s="56"/>
      <c r="F76" s="56"/>
      <c r="G76" s="66"/>
    </row>
    <row r="77" spans="1:7" x14ac:dyDescent="0.25">
      <c r="A77" s="84" t="s">
        <v>1477</v>
      </c>
      <c r="B77" s="85" t="s">
        <v>85</v>
      </c>
      <c r="C77" s="56"/>
      <c r="D77" s="56"/>
      <c r="E77" s="56"/>
      <c r="F77" s="56"/>
      <c r="G77" s="66"/>
    </row>
    <row r="78" spans="1:7" x14ac:dyDescent="0.25">
      <c r="A78" s="54" t="s">
        <v>1626</v>
      </c>
      <c r="B78" s="56"/>
      <c r="C78" s="56"/>
      <c r="D78" s="56"/>
      <c r="E78" s="56"/>
      <c r="F78" s="56"/>
      <c r="G78" s="66"/>
    </row>
    <row r="79" spans="1:7" x14ac:dyDescent="0.25">
      <c r="A79" s="54" t="s">
        <v>1478</v>
      </c>
      <c r="B79" s="85" t="s">
        <v>1479</v>
      </c>
      <c r="C79" s="85" t="s">
        <v>1479</v>
      </c>
      <c r="D79" s="56"/>
      <c r="E79" s="56"/>
      <c r="F79" s="56"/>
      <c r="G79" s="66"/>
    </row>
    <row r="80" spans="1:7" x14ac:dyDescent="0.25">
      <c r="A80" s="54"/>
      <c r="B80" s="86">
        <v>44469</v>
      </c>
      <c r="C80" s="86">
        <v>44651</v>
      </c>
      <c r="D80" s="56"/>
      <c r="E80" s="56"/>
      <c r="F80" s="56"/>
      <c r="G80" s="66"/>
    </row>
    <row r="81" spans="1:7" x14ac:dyDescent="0.25">
      <c r="A81" s="54" t="s">
        <v>1483</v>
      </c>
      <c r="B81" s="85" t="s">
        <v>2013</v>
      </c>
      <c r="C81" s="56">
        <v>10.2066</v>
      </c>
      <c r="D81" s="56"/>
      <c r="E81" s="59"/>
      <c r="F81" s="56"/>
      <c r="G81" s="87"/>
    </row>
    <row r="82" spans="1:7" x14ac:dyDescent="0.25">
      <c r="A82" s="54" t="s">
        <v>1484</v>
      </c>
      <c r="B82" s="85" t="s">
        <v>2013</v>
      </c>
      <c r="C82" s="56">
        <v>10.2066</v>
      </c>
      <c r="D82" s="56"/>
      <c r="E82" s="59"/>
      <c r="F82" s="56"/>
      <c r="G82" s="87"/>
    </row>
    <row r="83" spans="1:7" x14ac:dyDescent="0.25">
      <c r="A83" s="54" t="s">
        <v>1503</v>
      </c>
      <c r="B83" s="85" t="s">
        <v>2013</v>
      </c>
      <c r="C83" s="56">
        <v>10.199</v>
      </c>
      <c r="D83" s="56"/>
      <c r="E83" s="59"/>
      <c r="F83" s="56"/>
      <c r="G83" s="87"/>
    </row>
    <row r="84" spans="1:7" x14ac:dyDescent="0.25">
      <c r="A84" s="54" t="s">
        <v>1504</v>
      </c>
      <c r="B84" s="85" t="s">
        <v>2013</v>
      </c>
      <c r="C84" s="56">
        <v>10.1991</v>
      </c>
      <c r="D84" s="56"/>
      <c r="E84" s="59"/>
      <c r="F84" s="56"/>
      <c r="G84" s="87"/>
    </row>
    <row r="85" spans="1:7" x14ac:dyDescent="0.25">
      <c r="A85" s="54" t="s">
        <v>2014</v>
      </c>
      <c r="B85" s="85"/>
      <c r="C85" s="56"/>
      <c r="D85" s="56"/>
      <c r="E85" s="59"/>
      <c r="F85" s="56"/>
      <c r="G85" s="87"/>
    </row>
    <row r="86" spans="1:7" x14ac:dyDescent="0.25">
      <c r="A86" s="54"/>
      <c r="B86" s="56"/>
      <c r="C86" s="56"/>
      <c r="D86" s="56"/>
      <c r="E86" s="59"/>
      <c r="F86" s="56"/>
      <c r="G86" s="87"/>
    </row>
    <row r="87" spans="1:7" x14ac:dyDescent="0.25">
      <c r="A87" s="54" t="s">
        <v>2006</v>
      </c>
      <c r="B87" s="85" t="s">
        <v>85</v>
      </c>
      <c r="C87" s="56"/>
      <c r="D87" s="56"/>
      <c r="E87" s="56"/>
      <c r="F87" s="56"/>
      <c r="G87" s="66"/>
    </row>
    <row r="88" spans="1:7" x14ac:dyDescent="0.25">
      <c r="A88" s="54" t="s">
        <v>2008</v>
      </c>
      <c r="B88" s="85" t="s">
        <v>85</v>
      </c>
      <c r="C88" s="56"/>
      <c r="D88" s="56"/>
      <c r="E88" s="56"/>
      <c r="F88" s="56"/>
      <c r="G88" s="66"/>
    </row>
    <row r="89" spans="1:7" x14ac:dyDescent="0.25">
      <c r="A89" s="84" t="s">
        <v>2009</v>
      </c>
      <c r="B89" s="85" t="s">
        <v>85</v>
      </c>
      <c r="C89" s="56"/>
      <c r="D89" s="56"/>
      <c r="E89" s="56"/>
      <c r="F89" s="56"/>
      <c r="G89" s="66"/>
    </row>
    <row r="90" spans="1:7" x14ac:dyDescent="0.25">
      <c r="A90" s="84" t="s">
        <v>2010</v>
      </c>
      <c r="B90" s="85" t="s">
        <v>85</v>
      </c>
      <c r="C90" s="56"/>
      <c r="D90" s="56"/>
      <c r="E90" s="56"/>
      <c r="F90" s="56"/>
      <c r="G90" s="66"/>
    </row>
    <row r="91" spans="1:7" x14ac:dyDescent="0.25">
      <c r="A91" s="54" t="s">
        <v>1494</v>
      </c>
      <c r="B91" s="88">
        <v>4.8198439999999998</v>
      </c>
      <c r="C91" s="56"/>
      <c r="D91" s="56"/>
      <c r="E91" s="56"/>
      <c r="F91" s="56"/>
      <c r="G91" s="66"/>
    </row>
    <row r="92" spans="1:7" ht="30" x14ac:dyDescent="0.25">
      <c r="A92" s="84" t="s">
        <v>2011</v>
      </c>
      <c r="B92" s="85" t="s">
        <v>85</v>
      </c>
      <c r="C92" s="56"/>
      <c r="D92" s="56"/>
      <c r="E92" s="56"/>
      <c r="F92" s="56"/>
      <c r="G92" s="66"/>
    </row>
    <row r="93" spans="1:7" ht="30" x14ac:dyDescent="0.25">
      <c r="A93" s="84" t="s">
        <v>1495</v>
      </c>
      <c r="B93" s="85" t="s">
        <v>85</v>
      </c>
      <c r="C93" s="56"/>
      <c r="D93" s="56"/>
      <c r="E93" s="56"/>
      <c r="F93" s="56"/>
      <c r="G93" s="66"/>
    </row>
    <row r="94" spans="1:7" x14ac:dyDescent="0.25">
      <c r="A94" s="54" t="s">
        <v>1607</v>
      </c>
      <c r="B94" s="85" t="s">
        <v>85</v>
      </c>
      <c r="C94" s="56"/>
      <c r="D94" s="56"/>
      <c r="E94" s="56"/>
      <c r="F94" s="56"/>
      <c r="G94" s="66"/>
    </row>
    <row r="95" spans="1:7" x14ac:dyDescent="0.25">
      <c r="A95" s="54" t="s">
        <v>1608</v>
      </c>
      <c r="B95" s="85" t="s">
        <v>85</v>
      </c>
      <c r="C95" s="56"/>
      <c r="D95" s="56"/>
      <c r="E95" s="56"/>
      <c r="F95" s="56"/>
      <c r="G95" s="66"/>
    </row>
    <row r="96" spans="1:7" ht="15.75" thickBot="1" x14ac:dyDescent="0.3">
      <c r="A96" s="89"/>
      <c r="B96" s="90"/>
      <c r="C96" s="90"/>
      <c r="D96" s="90"/>
      <c r="E96" s="90"/>
      <c r="F96" s="90"/>
      <c r="G96" s="91"/>
    </row>
    <row r="99" spans="1:4" ht="30" x14ac:dyDescent="0.25">
      <c r="A99" s="107" t="s">
        <v>2042</v>
      </c>
      <c r="B99" s="108" t="s">
        <v>2043</v>
      </c>
      <c r="C99" s="108" t="s">
        <v>2044</v>
      </c>
      <c r="D99" s="109" t="s">
        <v>2045</v>
      </c>
    </row>
    <row r="100" spans="1:4" ht="49.5" customHeight="1" x14ac:dyDescent="0.25">
      <c r="A100" s="110" t="str">
        <f>HYPERLINK("[EDEL_Portfolio Monthly 28-Feb-2022.xlsx]EDNP27!A1","Edelweiss NY PSU BD PL SDL IDX Fund-2027")</f>
        <v>Edelweiss NY PSU BD PL SDL IDX Fund-2027</v>
      </c>
      <c r="B100" s="111"/>
      <c r="C100" s="112" t="s">
        <v>2056</v>
      </c>
      <c r="D100" s="111"/>
    </row>
  </sheetData>
  <mergeCells count="2">
    <mergeCell ref="A3:G3"/>
    <mergeCell ref="A4:G4"/>
  </mergeCells>
  <pageMargins left="0.7" right="0.7" top="0.75" bottom="0.75" header="0.3" footer="0.3"/>
  <pageSetup orientation="portrait" horizontalDpi="300" verticalDpi="3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33"/>
  <sheetViews>
    <sheetView showGridLines="0" workbookViewId="0">
      <pane ySplit="6" topLeftCell="A127"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35</v>
      </c>
      <c r="B3" s="139"/>
      <c r="C3" s="139"/>
      <c r="D3" s="139"/>
      <c r="E3" s="139"/>
      <c r="F3" s="139"/>
      <c r="G3" s="140"/>
      <c r="H3" s="46" t="str">
        <f>HYPERLINK("[EDEL_Portfolio HY 31032022.xlsx]Index!A1","Index")</f>
        <v>Index</v>
      </c>
    </row>
    <row r="4" spans="1:8" ht="19.5" customHeight="1" x14ac:dyDescent="0.25">
      <c r="A4" s="141" t="s">
        <v>2017</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84</v>
      </c>
      <c r="B9" s="31"/>
      <c r="C9" s="31"/>
      <c r="D9" s="14"/>
      <c r="E9" s="52" t="s">
        <v>85</v>
      </c>
      <c r="F9" s="53" t="s">
        <v>85</v>
      </c>
      <c r="G9" s="75"/>
    </row>
    <row r="10" spans="1:8" x14ac:dyDescent="0.25">
      <c r="A10" s="74"/>
      <c r="B10" s="31"/>
      <c r="C10" s="31"/>
      <c r="D10" s="14"/>
      <c r="E10" s="15"/>
      <c r="F10" s="16"/>
      <c r="G10" s="75"/>
    </row>
    <row r="11" spans="1:8" x14ac:dyDescent="0.25">
      <c r="A11" s="76" t="s">
        <v>86</v>
      </c>
      <c r="B11" s="31"/>
      <c r="C11" s="31"/>
      <c r="D11" s="14"/>
      <c r="E11" s="15"/>
      <c r="F11" s="16"/>
      <c r="G11" s="75"/>
    </row>
    <row r="12" spans="1:8" x14ac:dyDescent="0.25">
      <c r="A12" s="76" t="s">
        <v>87</v>
      </c>
      <c r="B12" s="31"/>
      <c r="C12" s="31"/>
      <c r="D12" s="14"/>
      <c r="E12" s="15"/>
      <c r="F12" s="16"/>
      <c r="G12" s="75"/>
    </row>
    <row r="13" spans="1:8" x14ac:dyDescent="0.25">
      <c r="A13" s="74" t="s">
        <v>1865</v>
      </c>
      <c r="B13" s="31" t="s">
        <v>368</v>
      </c>
      <c r="C13" s="31" t="s">
        <v>121</v>
      </c>
      <c r="D13" s="14">
        <v>19000000</v>
      </c>
      <c r="E13" s="15">
        <v>18796.7</v>
      </c>
      <c r="F13" s="16">
        <v>3.73E-2</v>
      </c>
      <c r="G13" s="75">
        <v>6.2549999999999994E-2</v>
      </c>
    </row>
    <row r="14" spans="1:8" x14ac:dyDescent="0.25">
      <c r="A14" s="74" t="s">
        <v>1866</v>
      </c>
      <c r="B14" s="31" t="s">
        <v>369</v>
      </c>
      <c r="C14" s="31" t="s">
        <v>121</v>
      </c>
      <c r="D14" s="14">
        <v>11200000</v>
      </c>
      <c r="E14" s="15">
        <v>12401.91</v>
      </c>
      <c r="F14" s="16">
        <v>2.46E-2</v>
      </c>
      <c r="G14" s="75">
        <v>6.0768999999999997E-2</v>
      </c>
    </row>
    <row r="15" spans="1:8" x14ac:dyDescent="0.25">
      <c r="A15" s="74" t="s">
        <v>1867</v>
      </c>
      <c r="B15" s="31" t="s">
        <v>370</v>
      </c>
      <c r="C15" s="31" t="s">
        <v>121</v>
      </c>
      <c r="D15" s="14">
        <v>12000000</v>
      </c>
      <c r="E15" s="15">
        <v>11908.34</v>
      </c>
      <c r="F15" s="16">
        <v>2.3599999999999999E-2</v>
      </c>
      <c r="G15" s="75">
        <v>6.0748999999999997E-2</v>
      </c>
    </row>
    <row r="16" spans="1:8" x14ac:dyDescent="0.25">
      <c r="A16" s="74" t="s">
        <v>1868</v>
      </c>
      <c r="B16" s="31" t="s">
        <v>371</v>
      </c>
      <c r="C16" s="31" t="s">
        <v>121</v>
      </c>
      <c r="D16" s="14">
        <v>10500000</v>
      </c>
      <c r="E16" s="15">
        <v>10397.25</v>
      </c>
      <c r="F16" s="16">
        <v>2.06E-2</v>
      </c>
      <c r="G16" s="75">
        <v>6.0998999999999998E-2</v>
      </c>
    </row>
    <row r="17" spans="1:7" x14ac:dyDescent="0.25">
      <c r="A17" s="74" t="s">
        <v>1869</v>
      </c>
      <c r="B17" s="31" t="s">
        <v>372</v>
      </c>
      <c r="C17" s="31" t="s">
        <v>89</v>
      </c>
      <c r="D17" s="14">
        <v>9500000</v>
      </c>
      <c r="E17" s="15">
        <v>9461.15</v>
      </c>
      <c r="F17" s="16">
        <v>1.8800000000000001E-2</v>
      </c>
      <c r="G17" s="75">
        <v>6.2950000000000006E-2</v>
      </c>
    </row>
    <row r="18" spans="1:7" x14ac:dyDescent="0.25">
      <c r="A18" s="74" t="s">
        <v>1870</v>
      </c>
      <c r="B18" s="31" t="s">
        <v>373</v>
      </c>
      <c r="C18" s="31" t="s">
        <v>89</v>
      </c>
      <c r="D18" s="14">
        <v>7600000</v>
      </c>
      <c r="E18" s="15">
        <v>7884.24</v>
      </c>
      <c r="F18" s="16">
        <v>1.5599999999999999E-2</v>
      </c>
      <c r="G18" s="75">
        <v>6.0100000000000001E-2</v>
      </c>
    </row>
    <row r="19" spans="1:7" x14ac:dyDescent="0.25">
      <c r="A19" s="74" t="s">
        <v>1871</v>
      </c>
      <c r="B19" s="31" t="s">
        <v>374</v>
      </c>
      <c r="C19" s="31" t="s">
        <v>121</v>
      </c>
      <c r="D19" s="14">
        <v>6500000</v>
      </c>
      <c r="E19" s="15">
        <v>6967.32</v>
      </c>
      <c r="F19" s="16">
        <v>1.38E-2</v>
      </c>
      <c r="G19" s="75">
        <v>5.935E-2</v>
      </c>
    </row>
    <row r="20" spans="1:7" x14ac:dyDescent="0.25">
      <c r="A20" s="74" t="s">
        <v>1872</v>
      </c>
      <c r="B20" s="31" t="s">
        <v>375</v>
      </c>
      <c r="C20" s="31" t="s">
        <v>121</v>
      </c>
      <c r="D20" s="14">
        <v>6000000</v>
      </c>
      <c r="E20" s="15">
        <v>6655.02</v>
      </c>
      <c r="F20" s="16">
        <v>1.32E-2</v>
      </c>
      <c r="G20" s="75">
        <v>6.0650000000000003E-2</v>
      </c>
    </row>
    <row r="21" spans="1:7" x14ac:dyDescent="0.25">
      <c r="A21" s="74" t="s">
        <v>1873</v>
      </c>
      <c r="B21" s="31" t="s">
        <v>376</v>
      </c>
      <c r="C21" s="31" t="s">
        <v>121</v>
      </c>
      <c r="D21" s="14">
        <v>6000000</v>
      </c>
      <c r="E21" s="15">
        <v>6396.67</v>
      </c>
      <c r="F21" s="16">
        <v>1.2699999999999999E-2</v>
      </c>
      <c r="G21" s="75">
        <v>6.1249999999999999E-2</v>
      </c>
    </row>
    <row r="22" spans="1:7" x14ac:dyDescent="0.25">
      <c r="A22" s="74" t="s">
        <v>1874</v>
      </c>
      <c r="B22" s="31" t="s">
        <v>377</v>
      </c>
      <c r="C22" s="31" t="s">
        <v>121</v>
      </c>
      <c r="D22" s="14">
        <v>4500000</v>
      </c>
      <c r="E22" s="15">
        <v>4850.78</v>
      </c>
      <c r="F22" s="16">
        <v>9.5999999999999992E-3</v>
      </c>
      <c r="G22" s="75">
        <v>5.9150000000000001E-2</v>
      </c>
    </row>
    <row r="23" spans="1:7" x14ac:dyDescent="0.25">
      <c r="A23" s="74" t="s">
        <v>1875</v>
      </c>
      <c r="B23" s="31" t="s">
        <v>378</v>
      </c>
      <c r="C23" s="31" t="s">
        <v>89</v>
      </c>
      <c r="D23" s="14">
        <v>4000000</v>
      </c>
      <c r="E23" s="15">
        <v>4119.95</v>
      </c>
      <c r="F23" s="16">
        <v>8.2000000000000007E-3</v>
      </c>
      <c r="G23" s="75">
        <v>6.0100000000000001E-2</v>
      </c>
    </row>
    <row r="24" spans="1:7" x14ac:dyDescent="0.25">
      <c r="A24" s="74" t="s">
        <v>1876</v>
      </c>
      <c r="B24" s="31" t="s">
        <v>379</v>
      </c>
      <c r="C24" s="31" t="s">
        <v>118</v>
      </c>
      <c r="D24" s="14">
        <v>3300000</v>
      </c>
      <c r="E24" s="15">
        <v>3446.89</v>
      </c>
      <c r="F24" s="16">
        <v>6.7999999999999996E-3</v>
      </c>
      <c r="G24" s="75">
        <v>6.0100000000000001E-2</v>
      </c>
    </row>
    <row r="25" spans="1:7" x14ac:dyDescent="0.25">
      <c r="A25" s="74" t="s">
        <v>1877</v>
      </c>
      <c r="B25" s="31" t="s">
        <v>380</v>
      </c>
      <c r="C25" s="31" t="s">
        <v>121</v>
      </c>
      <c r="D25" s="14">
        <v>2500000</v>
      </c>
      <c r="E25" s="15">
        <v>2773.25</v>
      </c>
      <c r="F25" s="16">
        <v>5.4999999999999997E-3</v>
      </c>
      <c r="G25" s="75">
        <v>6.0650000000000003E-2</v>
      </c>
    </row>
    <row r="26" spans="1:7" x14ac:dyDescent="0.25">
      <c r="A26" s="74" t="s">
        <v>1878</v>
      </c>
      <c r="B26" s="31" t="s">
        <v>381</v>
      </c>
      <c r="C26" s="31" t="s">
        <v>121</v>
      </c>
      <c r="D26" s="14">
        <v>2200000</v>
      </c>
      <c r="E26" s="15">
        <v>2365.5</v>
      </c>
      <c r="F26" s="16">
        <v>4.7000000000000002E-3</v>
      </c>
      <c r="G26" s="75">
        <v>6.0776999999999998E-2</v>
      </c>
    </row>
    <row r="27" spans="1:7" x14ac:dyDescent="0.25">
      <c r="A27" s="74" t="s">
        <v>1879</v>
      </c>
      <c r="B27" s="31" t="s">
        <v>382</v>
      </c>
      <c r="C27" s="31" t="s">
        <v>121</v>
      </c>
      <c r="D27" s="14">
        <v>2000000</v>
      </c>
      <c r="E27" s="15">
        <v>2146.27</v>
      </c>
      <c r="F27" s="16">
        <v>4.3E-3</v>
      </c>
      <c r="G27" s="75">
        <v>5.9200000000000003E-2</v>
      </c>
    </row>
    <row r="28" spans="1:7" x14ac:dyDescent="0.25">
      <c r="A28" s="74" t="s">
        <v>1880</v>
      </c>
      <c r="B28" s="31" t="s">
        <v>383</v>
      </c>
      <c r="C28" s="31" t="s">
        <v>121</v>
      </c>
      <c r="D28" s="14">
        <v>1500000</v>
      </c>
      <c r="E28" s="15">
        <v>1495.69</v>
      </c>
      <c r="F28" s="16">
        <v>3.0000000000000001E-3</v>
      </c>
      <c r="G28" s="75">
        <v>6.1296000000000003E-2</v>
      </c>
    </row>
    <row r="29" spans="1:7" x14ac:dyDescent="0.25">
      <c r="A29" s="74" t="s">
        <v>1881</v>
      </c>
      <c r="B29" s="31" t="s">
        <v>384</v>
      </c>
      <c r="C29" s="31" t="s">
        <v>118</v>
      </c>
      <c r="D29" s="14">
        <v>1109000</v>
      </c>
      <c r="E29" s="15">
        <v>1214.52</v>
      </c>
      <c r="F29" s="16">
        <v>2.3999999999999998E-3</v>
      </c>
      <c r="G29" s="75">
        <v>6.0100000000000001E-2</v>
      </c>
    </row>
    <row r="30" spans="1:7" x14ac:dyDescent="0.25">
      <c r="A30" s="74" t="s">
        <v>1882</v>
      </c>
      <c r="B30" s="31" t="s">
        <v>385</v>
      </c>
      <c r="C30" s="31" t="s">
        <v>118</v>
      </c>
      <c r="D30" s="14">
        <v>1000000</v>
      </c>
      <c r="E30" s="15">
        <v>1092.8</v>
      </c>
      <c r="F30" s="16">
        <v>2.2000000000000001E-3</v>
      </c>
      <c r="G30" s="75">
        <v>6.0100000000000001E-2</v>
      </c>
    </row>
    <row r="31" spans="1:7" x14ac:dyDescent="0.25">
      <c r="A31" s="74" t="s">
        <v>1884</v>
      </c>
      <c r="B31" s="31" t="s">
        <v>386</v>
      </c>
      <c r="C31" s="31" t="s">
        <v>121</v>
      </c>
      <c r="D31" s="14">
        <v>500000</v>
      </c>
      <c r="E31" s="15">
        <v>554.23</v>
      </c>
      <c r="F31" s="16">
        <v>1.1000000000000001E-3</v>
      </c>
      <c r="G31" s="75">
        <v>5.9150000000000001E-2</v>
      </c>
    </row>
    <row r="32" spans="1:7" x14ac:dyDescent="0.25">
      <c r="A32" s="74" t="s">
        <v>1883</v>
      </c>
      <c r="B32" s="31" t="s">
        <v>387</v>
      </c>
      <c r="C32" s="31" t="s">
        <v>121</v>
      </c>
      <c r="D32" s="14">
        <v>500000</v>
      </c>
      <c r="E32" s="15">
        <v>492.87</v>
      </c>
      <c r="F32" s="16">
        <v>1E-3</v>
      </c>
      <c r="G32" s="75">
        <v>6.0225000000000001E-2</v>
      </c>
    </row>
    <row r="33" spans="1:7" x14ac:dyDescent="0.25">
      <c r="A33" s="76" t="s">
        <v>90</v>
      </c>
      <c r="B33" s="32"/>
      <c r="C33" s="32"/>
      <c r="D33" s="18"/>
      <c r="E33" s="35">
        <v>115421.35</v>
      </c>
      <c r="F33" s="36">
        <v>0.22900000000000001</v>
      </c>
      <c r="G33" s="77"/>
    </row>
    <row r="34" spans="1:7" x14ac:dyDescent="0.25">
      <c r="A34" s="74"/>
      <c r="B34" s="31"/>
      <c r="C34" s="31"/>
      <c r="D34" s="14"/>
      <c r="E34" s="15"/>
      <c r="F34" s="16"/>
      <c r="G34" s="75"/>
    </row>
    <row r="35" spans="1:7" x14ac:dyDescent="0.25">
      <c r="A35" s="76" t="s">
        <v>195</v>
      </c>
      <c r="B35" s="31"/>
      <c r="C35" s="31"/>
      <c r="D35" s="14"/>
      <c r="E35" s="15"/>
      <c r="F35" s="16"/>
      <c r="G35" s="75"/>
    </row>
    <row r="36" spans="1:7" x14ac:dyDescent="0.25">
      <c r="A36" s="74" t="s">
        <v>1885</v>
      </c>
      <c r="B36" s="31" t="s">
        <v>388</v>
      </c>
      <c r="C36" s="31" t="s">
        <v>197</v>
      </c>
      <c r="D36" s="14">
        <v>55500000</v>
      </c>
      <c r="E36" s="15">
        <v>54752.25</v>
      </c>
      <c r="F36" s="16">
        <v>0.1086</v>
      </c>
      <c r="G36" s="75">
        <v>6.0107000000000001E-2</v>
      </c>
    </row>
    <row r="37" spans="1:7" x14ac:dyDescent="0.25">
      <c r="A37" s="76" t="s">
        <v>90</v>
      </c>
      <c r="B37" s="32"/>
      <c r="C37" s="32"/>
      <c r="D37" s="18"/>
      <c r="E37" s="35">
        <v>54752.25</v>
      </c>
      <c r="F37" s="36">
        <v>0.1086</v>
      </c>
      <c r="G37" s="77"/>
    </row>
    <row r="38" spans="1:7" x14ac:dyDescent="0.25">
      <c r="A38" s="76"/>
      <c r="B38" s="32"/>
      <c r="C38" s="32"/>
      <c r="D38" s="18"/>
      <c r="E38" s="42"/>
      <c r="F38" s="21"/>
      <c r="G38" s="77"/>
    </row>
    <row r="39" spans="1:7" x14ac:dyDescent="0.25">
      <c r="A39" s="76" t="s">
        <v>308</v>
      </c>
      <c r="B39" s="31"/>
      <c r="C39" s="31"/>
      <c r="D39" s="14"/>
      <c r="E39" s="15"/>
      <c r="F39" s="16"/>
      <c r="G39" s="75"/>
    </row>
    <row r="40" spans="1:7" x14ac:dyDescent="0.25">
      <c r="A40" s="74" t="s">
        <v>1886</v>
      </c>
      <c r="B40" s="31" t="s">
        <v>389</v>
      </c>
      <c r="C40" s="31" t="s">
        <v>197</v>
      </c>
      <c r="D40" s="14">
        <v>30000000</v>
      </c>
      <c r="E40" s="15">
        <v>30028.5</v>
      </c>
      <c r="F40" s="16">
        <v>5.96E-2</v>
      </c>
      <c r="G40" s="75">
        <v>6.1527999999999999E-2</v>
      </c>
    </row>
    <row r="41" spans="1:7" x14ac:dyDescent="0.25">
      <c r="A41" s="74" t="s">
        <v>1887</v>
      </c>
      <c r="B41" s="31" t="s">
        <v>390</v>
      </c>
      <c r="C41" s="31" t="s">
        <v>197</v>
      </c>
      <c r="D41" s="14">
        <v>17500000</v>
      </c>
      <c r="E41" s="15">
        <v>18732.02</v>
      </c>
      <c r="F41" s="16">
        <v>3.7199999999999997E-2</v>
      </c>
      <c r="G41" s="75">
        <v>6.1801000000000002E-2</v>
      </c>
    </row>
    <row r="42" spans="1:7" x14ac:dyDescent="0.25">
      <c r="A42" s="74" t="s">
        <v>1888</v>
      </c>
      <c r="B42" s="31" t="s">
        <v>391</v>
      </c>
      <c r="C42" s="31" t="s">
        <v>197</v>
      </c>
      <c r="D42" s="14">
        <v>15500000</v>
      </c>
      <c r="E42" s="15">
        <v>16644.099999999999</v>
      </c>
      <c r="F42" s="16">
        <v>3.3000000000000002E-2</v>
      </c>
      <c r="G42" s="75">
        <v>6.1780000000000002E-2</v>
      </c>
    </row>
    <row r="43" spans="1:7" x14ac:dyDescent="0.25">
      <c r="A43" s="74" t="s">
        <v>1889</v>
      </c>
      <c r="B43" s="31" t="s">
        <v>392</v>
      </c>
      <c r="C43" s="31" t="s">
        <v>197</v>
      </c>
      <c r="D43" s="14">
        <v>15000000</v>
      </c>
      <c r="E43" s="15">
        <v>16297.86</v>
      </c>
      <c r="F43" s="16">
        <v>3.2300000000000002E-2</v>
      </c>
      <c r="G43" s="75">
        <v>6.2224000000000002E-2</v>
      </c>
    </row>
    <row r="44" spans="1:7" x14ac:dyDescent="0.25">
      <c r="A44" s="74" t="s">
        <v>1890</v>
      </c>
      <c r="B44" s="31" t="s">
        <v>393</v>
      </c>
      <c r="C44" s="31" t="s">
        <v>197</v>
      </c>
      <c r="D44" s="14">
        <v>14500000</v>
      </c>
      <c r="E44" s="15">
        <v>15691.73</v>
      </c>
      <c r="F44" s="16">
        <v>3.1099999999999999E-2</v>
      </c>
      <c r="G44" s="75">
        <v>6.1850000000000002E-2</v>
      </c>
    </row>
    <row r="45" spans="1:7" x14ac:dyDescent="0.25">
      <c r="A45" s="74" t="s">
        <v>1891</v>
      </c>
      <c r="B45" s="31" t="s">
        <v>394</v>
      </c>
      <c r="C45" s="31" t="s">
        <v>197</v>
      </c>
      <c r="D45" s="14">
        <v>13500000</v>
      </c>
      <c r="E45" s="15">
        <v>14475.66</v>
      </c>
      <c r="F45" s="16">
        <v>2.87E-2</v>
      </c>
      <c r="G45" s="75">
        <v>6.1787000000000002E-2</v>
      </c>
    </row>
    <row r="46" spans="1:7" x14ac:dyDescent="0.25">
      <c r="A46" s="74" t="s">
        <v>1892</v>
      </c>
      <c r="B46" s="31" t="s">
        <v>395</v>
      </c>
      <c r="C46" s="31" t="s">
        <v>197</v>
      </c>
      <c r="D46" s="14">
        <v>12500000</v>
      </c>
      <c r="E46" s="15">
        <v>13477.3</v>
      </c>
      <c r="F46" s="16">
        <v>2.6700000000000002E-2</v>
      </c>
      <c r="G46" s="75">
        <v>6.2253999999999997E-2</v>
      </c>
    </row>
    <row r="47" spans="1:7" x14ac:dyDescent="0.25">
      <c r="A47" s="74" t="s">
        <v>1893</v>
      </c>
      <c r="B47" s="31" t="s">
        <v>396</v>
      </c>
      <c r="C47" s="31" t="s">
        <v>197</v>
      </c>
      <c r="D47" s="14">
        <v>11500000</v>
      </c>
      <c r="E47" s="15">
        <v>12394.26</v>
      </c>
      <c r="F47" s="16">
        <v>2.46E-2</v>
      </c>
      <c r="G47" s="75">
        <v>6.1800000000000001E-2</v>
      </c>
    </row>
    <row r="48" spans="1:7" x14ac:dyDescent="0.25">
      <c r="A48" s="74" t="s">
        <v>1894</v>
      </c>
      <c r="B48" s="31" t="s">
        <v>397</v>
      </c>
      <c r="C48" s="31" t="s">
        <v>197</v>
      </c>
      <c r="D48" s="14">
        <v>11500000</v>
      </c>
      <c r="E48" s="15">
        <v>12348.56</v>
      </c>
      <c r="F48" s="16">
        <v>2.4500000000000001E-2</v>
      </c>
      <c r="G48" s="75">
        <v>6.1787000000000002E-2</v>
      </c>
    </row>
    <row r="49" spans="1:7" x14ac:dyDescent="0.25">
      <c r="A49" s="74" t="s">
        <v>1895</v>
      </c>
      <c r="B49" s="31" t="s">
        <v>398</v>
      </c>
      <c r="C49" s="31" t="s">
        <v>197</v>
      </c>
      <c r="D49" s="14">
        <v>11500000</v>
      </c>
      <c r="E49" s="15">
        <v>12338.83</v>
      </c>
      <c r="F49" s="16">
        <v>2.4500000000000001E-2</v>
      </c>
      <c r="G49" s="75">
        <v>6.2123999999999999E-2</v>
      </c>
    </row>
    <row r="50" spans="1:7" x14ac:dyDescent="0.25">
      <c r="A50" s="74" t="s">
        <v>1896</v>
      </c>
      <c r="B50" s="31" t="s">
        <v>399</v>
      </c>
      <c r="C50" s="31" t="s">
        <v>197</v>
      </c>
      <c r="D50" s="14">
        <v>10500000</v>
      </c>
      <c r="E50" s="15">
        <v>11453.99</v>
      </c>
      <c r="F50" s="16">
        <v>2.2700000000000001E-2</v>
      </c>
      <c r="G50" s="75">
        <v>6.2157999999999998E-2</v>
      </c>
    </row>
    <row r="51" spans="1:7" x14ac:dyDescent="0.25">
      <c r="A51" s="74" t="s">
        <v>1897</v>
      </c>
      <c r="B51" s="31" t="s">
        <v>400</v>
      </c>
      <c r="C51" s="31" t="s">
        <v>197</v>
      </c>
      <c r="D51" s="14">
        <v>9000000</v>
      </c>
      <c r="E51" s="15">
        <v>9735.83</v>
      </c>
      <c r="F51" s="16">
        <v>1.9300000000000001E-2</v>
      </c>
      <c r="G51" s="75">
        <v>6.2253999999999997E-2</v>
      </c>
    </row>
    <row r="52" spans="1:7" x14ac:dyDescent="0.25">
      <c r="A52" s="74" t="s">
        <v>1898</v>
      </c>
      <c r="B52" s="31" t="s">
        <v>401</v>
      </c>
      <c r="C52" s="31" t="s">
        <v>197</v>
      </c>
      <c r="D52" s="14">
        <v>9000000</v>
      </c>
      <c r="E52" s="15">
        <v>9653.6</v>
      </c>
      <c r="F52" s="16">
        <v>1.9199999999999998E-2</v>
      </c>
      <c r="G52" s="75">
        <v>6.2310999999999998E-2</v>
      </c>
    </row>
    <row r="53" spans="1:7" x14ac:dyDescent="0.25">
      <c r="A53" s="74" t="s">
        <v>1899</v>
      </c>
      <c r="B53" s="31" t="s">
        <v>402</v>
      </c>
      <c r="C53" s="31" t="s">
        <v>197</v>
      </c>
      <c r="D53" s="14">
        <v>7500000</v>
      </c>
      <c r="E53" s="15">
        <v>8028.13</v>
      </c>
      <c r="F53" s="16">
        <v>1.5900000000000001E-2</v>
      </c>
      <c r="G53" s="75">
        <v>6.1699999999999998E-2</v>
      </c>
    </row>
    <row r="54" spans="1:7" x14ac:dyDescent="0.25">
      <c r="A54" s="74" t="s">
        <v>1900</v>
      </c>
      <c r="B54" s="31" t="s">
        <v>403</v>
      </c>
      <c r="C54" s="31" t="s">
        <v>197</v>
      </c>
      <c r="D54" s="14">
        <v>7500000</v>
      </c>
      <c r="E54" s="15">
        <v>8016.99</v>
      </c>
      <c r="F54" s="16">
        <v>1.5900000000000001E-2</v>
      </c>
      <c r="G54" s="75">
        <v>6.2224000000000002E-2</v>
      </c>
    </row>
    <row r="55" spans="1:7" x14ac:dyDescent="0.25">
      <c r="A55" s="74" t="s">
        <v>1901</v>
      </c>
      <c r="B55" s="31" t="s">
        <v>404</v>
      </c>
      <c r="C55" s="31" t="s">
        <v>197</v>
      </c>
      <c r="D55" s="14">
        <v>7219500</v>
      </c>
      <c r="E55" s="15">
        <v>7659.62</v>
      </c>
      <c r="F55" s="16">
        <v>1.52E-2</v>
      </c>
      <c r="G55" s="75">
        <v>6.2715000000000007E-2</v>
      </c>
    </row>
    <row r="56" spans="1:7" x14ac:dyDescent="0.25">
      <c r="A56" s="74" t="s">
        <v>1902</v>
      </c>
      <c r="B56" s="31" t="s">
        <v>405</v>
      </c>
      <c r="C56" s="31" t="s">
        <v>197</v>
      </c>
      <c r="D56" s="14">
        <v>7000000</v>
      </c>
      <c r="E56" s="15">
        <v>7567.5</v>
      </c>
      <c r="F56" s="16">
        <v>1.4999999999999999E-2</v>
      </c>
      <c r="G56" s="75">
        <v>6.2157999999999998E-2</v>
      </c>
    </row>
    <row r="57" spans="1:7" x14ac:dyDescent="0.25">
      <c r="A57" s="74" t="s">
        <v>1903</v>
      </c>
      <c r="B57" s="31" t="s">
        <v>406</v>
      </c>
      <c r="C57" s="31" t="s">
        <v>197</v>
      </c>
      <c r="D57" s="14">
        <v>7000000</v>
      </c>
      <c r="E57" s="15">
        <v>7491.22</v>
      </c>
      <c r="F57" s="16">
        <v>1.49E-2</v>
      </c>
      <c r="G57" s="75">
        <v>6.2248999999999999E-2</v>
      </c>
    </row>
    <row r="58" spans="1:7" x14ac:dyDescent="0.25">
      <c r="A58" s="74" t="s">
        <v>1904</v>
      </c>
      <c r="B58" s="31" t="s">
        <v>407</v>
      </c>
      <c r="C58" s="31" t="s">
        <v>197</v>
      </c>
      <c r="D58" s="14">
        <v>6000000</v>
      </c>
      <c r="E58" s="15">
        <v>6467.18</v>
      </c>
      <c r="F58" s="16">
        <v>1.2800000000000001E-2</v>
      </c>
      <c r="G58" s="75">
        <v>6.2248999999999999E-2</v>
      </c>
    </row>
    <row r="59" spans="1:7" x14ac:dyDescent="0.25">
      <c r="A59" s="74" t="s">
        <v>1905</v>
      </c>
      <c r="B59" s="31" t="s">
        <v>408</v>
      </c>
      <c r="C59" s="31" t="s">
        <v>197</v>
      </c>
      <c r="D59" s="14">
        <v>6000000</v>
      </c>
      <c r="E59" s="15">
        <v>6435.02</v>
      </c>
      <c r="F59" s="16">
        <v>1.2800000000000001E-2</v>
      </c>
      <c r="G59" s="75">
        <v>6.2248999999999999E-2</v>
      </c>
    </row>
    <row r="60" spans="1:7" x14ac:dyDescent="0.25">
      <c r="A60" s="74" t="s">
        <v>1906</v>
      </c>
      <c r="B60" s="31" t="s">
        <v>409</v>
      </c>
      <c r="C60" s="31" t="s">
        <v>197</v>
      </c>
      <c r="D60" s="14">
        <v>5500000</v>
      </c>
      <c r="E60" s="15">
        <v>5945.84</v>
      </c>
      <c r="F60" s="16">
        <v>1.18E-2</v>
      </c>
      <c r="G60" s="75">
        <v>6.1780000000000002E-2</v>
      </c>
    </row>
    <row r="61" spans="1:7" x14ac:dyDescent="0.25">
      <c r="A61" s="74" t="s">
        <v>1907</v>
      </c>
      <c r="B61" s="31" t="s">
        <v>410</v>
      </c>
      <c r="C61" s="31" t="s">
        <v>197</v>
      </c>
      <c r="D61" s="14">
        <v>5500000</v>
      </c>
      <c r="E61" s="15">
        <v>5926.3</v>
      </c>
      <c r="F61" s="16">
        <v>1.18E-2</v>
      </c>
      <c r="G61" s="75">
        <v>6.2157999999999998E-2</v>
      </c>
    </row>
    <row r="62" spans="1:7" x14ac:dyDescent="0.25">
      <c r="A62" s="74" t="s">
        <v>1908</v>
      </c>
      <c r="B62" s="31" t="s">
        <v>411</v>
      </c>
      <c r="C62" s="31" t="s">
        <v>197</v>
      </c>
      <c r="D62" s="14">
        <v>5000000</v>
      </c>
      <c r="E62" s="15">
        <v>5444.12</v>
      </c>
      <c r="F62" s="16">
        <v>1.0800000000000001E-2</v>
      </c>
      <c r="G62" s="75">
        <v>6.2248999999999999E-2</v>
      </c>
    </row>
    <row r="63" spans="1:7" x14ac:dyDescent="0.25">
      <c r="A63" s="74" t="s">
        <v>1909</v>
      </c>
      <c r="B63" s="31" t="s">
        <v>412</v>
      </c>
      <c r="C63" s="31" t="s">
        <v>197</v>
      </c>
      <c r="D63" s="14">
        <v>5000000</v>
      </c>
      <c r="E63" s="15">
        <v>5432.52</v>
      </c>
      <c r="F63" s="16">
        <v>1.0800000000000001E-2</v>
      </c>
      <c r="G63" s="75">
        <v>6.1850000000000002E-2</v>
      </c>
    </row>
    <row r="64" spans="1:7" x14ac:dyDescent="0.25">
      <c r="A64" s="74" t="s">
        <v>1910</v>
      </c>
      <c r="B64" s="31" t="s">
        <v>413</v>
      </c>
      <c r="C64" s="31" t="s">
        <v>197</v>
      </c>
      <c r="D64" s="14">
        <v>5000000</v>
      </c>
      <c r="E64" s="15">
        <v>5401.86</v>
      </c>
      <c r="F64" s="16">
        <v>1.0699999999999999E-2</v>
      </c>
      <c r="G64" s="75">
        <v>6.1780000000000002E-2</v>
      </c>
    </row>
    <row r="65" spans="1:7" x14ac:dyDescent="0.25">
      <c r="A65" s="74" t="s">
        <v>1911</v>
      </c>
      <c r="B65" s="31" t="s">
        <v>414</v>
      </c>
      <c r="C65" s="31" t="s">
        <v>197</v>
      </c>
      <c r="D65" s="14">
        <v>4000000</v>
      </c>
      <c r="E65" s="15">
        <v>4312.6899999999996</v>
      </c>
      <c r="F65" s="16">
        <v>8.6E-3</v>
      </c>
      <c r="G65" s="75">
        <v>6.1780000000000002E-2</v>
      </c>
    </row>
    <row r="66" spans="1:7" x14ac:dyDescent="0.25">
      <c r="A66" s="74" t="s">
        <v>1912</v>
      </c>
      <c r="B66" s="31" t="s">
        <v>415</v>
      </c>
      <c r="C66" s="31" t="s">
        <v>197</v>
      </c>
      <c r="D66" s="14">
        <v>4000000</v>
      </c>
      <c r="E66" s="15">
        <v>4292.5600000000004</v>
      </c>
      <c r="F66" s="16">
        <v>8.5000000000000006E-3</v>
      </c>
      <c r="G66" s="75">
        <v>6.1780000000000002E-2</v>
      </c>
    </row>
    <row r="67" spans="1:7" x14ac:dyDescent="0.25">
      <c r="A67" s="74" t="s">
        <v>1913</v>
      </c>
      <c r="B67" s="31" t="s">
        <v>416</v>
      </c>
      <c r="C67" s="31" t="s">
        <v>197</v>
      </c>
      <c r="D67" s="14">
        <v>3500000</v>
      </c>
      <c r="E67" s="15">
        <v>3797.74</v>
      </c>
      <c r="F67" s="16">
        <v>7.4999999999999997E-3</v>
      </c>
      <c r="G67" s="75">
        <v>6.1774000000000003E-2</v>
      </c>
    </row>
    <row r="68" spans="1:7" x14ac:dyDescent="0.25">
      <c r="A68" s="74" t="s">
        <v>1914</v>
      </c>
      <c r="B68" s="31" t="s">
        <v>417</v>
      </c>
      <c r="C68" s="31" t="s">
        <v>197</v>
      </c>
      <c r="D68" s="14">
        <v>3500000</v>
      </c>
      <c r="E68" s="15">
        <v>3785.87</v>
      </c>
      <c r="F68" s="16">
        <v>7.4999999999999997E-3</v>
      </c>
      <c r="G68" s="75">
        <v>6.1800000000000001E-2</v>
      </c>
    </row>
    <row r="69" spans="1:7" x14ac:dyDescent="0.25">
      <c r="A69" s="74" t="s">
        <v>1915</v>
      </c>
      <c r="B69" s="31" t="s">
        <v>418</v>
      </c>
      <c r="C69" s="31" t="s">
        <v>197</v>
      </c>
      <c r="D69" s="14">
        <v>3500000</v>
      </c>
      <c r="E69" s="15">
        <v>3743.22</v>
      </c>
      <c r="F69" s="16">
        <v>7.4000000000000003E-3</v>
      </c>
      <c r="G69" s="75">
        <v>6.2157999999999998E-2</v>
      </c>
    </row>
    <row r="70" spans="1:7" x14ac:dyDescent="0.25">
      <c r="A70" s="74" t="s">
        <v>1916</v>
      </c>
      <c r="B70" s="31" t="s">
        <v>419</v>
      </c>
      <c r="C70" s="31" t="s">
        <v>197</v>
      </c>
      <c r="D70" s="14">
        <v>3000000</v>
      </c>
      <c r="E70" s="15">
        <v>3265.39</v>
      </c>
      <c r="F70" s="16">
        <v>6.4999999999999997E-3</v>
      </c>
      <c r="G70" s="75">
        <v>6.2253999999999997E-2</v>
      </c>
    </row>
    <row r="71" spans="1:7" x14ac:dyDescent="0.25">
      <c r="A71" s="74" t="s">
        <v>1917</v>
      </c>
      <c r="B71" s="31" t="s">
        <v>420</v>
      </c>
      <c r="C71" s="31" t="s">
        <v>197</v>
      </c>
      <c r="D71" s="14">
        <v>3000000</v>
      </c>
      <c r="E71" s="15">
        <v>3257.19</v>
      </c>
      <c r="F71" s="16">
        <v>6.4999999999999997E-3</v>
      </c>
      <c r="G71" s="75">
        <v>6.1780000000000002E-2</v>
      </c>
    </row>
    <row r="72" spans="1:7" x14ac:dyDescent="0.25">
      <c r="A72" s="74" t="s">
        <v>1918</v>
      </c>
      <c r="B72" s="31" t="s">
        <v>421</v>
      </c>
      <c r="C72" s="31" t="s">
        <v>197</v>
      </c>
      <c r="D72" s="14">
        <v>3000000</v>
      </c>
      <c r="E72" s="15">
        <v>3221.22</v>
      </c>
      <c r="F72" s="16">
        <v>6.4000000000000003E-3</v>
      </c>
      <c r="G72" s="75">
        <v>6.1801000000000002E-2</v>
      </c>
    </row>
    <row r="73" spans="1:7" x14ac:dyDescent="0.25">
      <c r="A73" s="74" t="s">
        <v>1919</v>
      </c>
      <c r="B73" s="31" t="s">
        <v>422</v>
      </c>
      <c r="C73" s="31" t="s">
        <v>197</v>
      </c>
      <c r="D73" s="14">
        <v>2500000</v>
      </c>
      <c r="E73" s="15">
        <v>2641.07</v>
      </c>
      <c r="F73" s="16">
        <v>5.1999999999999998E-3</v>
      </c>
      <c r="G73" s="75">
        <v>6.2886999999999998E-2</v>
      </c>
    </row>
    <row r="74" spans="1:7" x14ac:dyDescent="0.25">
      <c r="A74" s="74" t="s">
        <v>1920</v>
      </c>
      <c r="B74" s="31" t="s">
        <v>423</v>
      </c>
      <c r="C74" s="31" t="s">
        <v>197</v>
      </c>
      <c r="D74" s="14">
        <v>2000000</v>
      </c>
      <c r="E74" s="15">
        <v>2170.09</v>
      </c>
      <c r="F74" s="16">
        <v>4.3E-3</v>
      </c>
      <c r="G74" s="75">
        <v>6.1780000000000002E-2</v>
      </c>
    </row>
    <row r="75" spans="1:7" x14ac:dyDescent="0.25">
      <c r="A75" s="74" t="s">
        <v>1921</v>
      </c>
      <c r="B75" s="31" t="s">
        <v>424</v>
      </c>
      <c r="C75" s="31" t="s">
        <v>197</v>
      </c>
      <c r="D75" s="14">
        <v>2000000</v>
      </c>
      <c r="E75" s="15">
        <v>2154.9899999999998</v>
      </c>
      <c r="F75" s="16">
        <v>4.3E-3</v>
      </c>
      <c r="G75" s="75">
        <v>6.1780000000000002E-2</v>
      </c>
    </row>
    <row r="76" spans="1:7" x14ac:dyDescent="0.25">
      <c r="A76" s="74" t="s">
        <v>1922</v>
      </c>
      <c r="B76" s="31" t="s">
        <v>425</v>
      </c>
      <c r="C76" s="31" t="s">
        <v>197</v>
      </c>
      <c r="D76" s="14">
        <v>2000000</v>
      </c>
      <c r="E76" s="15">
        <v>2138.9499999999998</v>
      </c>
      <c r="F76" s="16">
        <v>4.1999999999999997E-3</v>
      </c>
      <c r="G76" s="75">
        <v>6.1780000000000002E-2</v>
      </c>
    </row>
    <row r="77" spans="1:7" x14ac:dyDescent="0.25">
      <c r="A77" s="74" t="s">
        <v>1923</v>
      </c>
      <c r="B77" s="31" t="s">
        <v>426</v>
      </c>
      <c r="C77" s="31" t="s">
        <v>197</v>
      </c>
      <c r="D77" s="14">
        <v>2000000</v>
      </c>
      <c r="E77" s="15">
        <v>2137.75</v>
      </c>
      <c r="F77" s="16">
        <v>4.1999999999999997E-3</v>
      </c>
      <c r="G77" s="75">
        <v>6.1761000000000003E-2</v>
      </c>
    </row>
    <row r="78" spans="1:7" x14ac:dyDescent="0.25">
      <c r="A78" s="74" t="s">
        <v>1924</v>
      </c>
      <c r="B78" s="31" t="s">
        <v>427</v>
      </c>
      <c r="C78" s="31" t="s">
        <v>197</v>
      </c>
      <c r="D78" s="14">
        <v>1500000</v>
      </c>
      <c r="E78" s="15">
        <v>1604.18</v>
      </c>
      <c r="F78" s="16">
        <v>3.2000000000000002E-3</v>
      </c>
      <c r="G78" s="75">
        <v>6.1787000000000002E-2</v>
      </c>
    </row>
    <row r="79" spans="1:7" x14ac:dyDescent="0.25">
      <c r="A79" s="74" t="s">
        <v>1925</v>
      </c>
      <c r="B79" s="31" t="s">
        <v>428</v>
      </c>
      <c r="C79" s="31" t="s">
        <v>197</v>
      </c>
      <c r="D79" s="14">
        <v>1000000</v>
      </c>
      <c r="E79" s="15">
        <v>1076.99</v>
      </c>
      <c r="F79" s="16">
        <v>2.0999999999999999E-3</v>
      </c>
      <c r="G79" s="75">
        <v>6.1828000000000001E-2</v>
      </c>
    </row>
    <row r="80" spans="1:7" x14ac:dyDescent="0.25">
      <c r="A80" s="74" t="s">
        <v>1926</v>
      </c>
      <c r="B80" s="31" t="s">
        <v>429</v>
      </c>
      <c r="C80" s="31" t="s">
        <v>197</v>
      </c>
      <c r="D80" s="14">
        <v>1000000</v>
      </c>
      <c r="E80" s="15">
        <v>1073.9000000000001</v>
      </c>
      <c r="F80" s="16">
        <v>2.0999999999999999E-3</v>
      </c>
      <c r="G80" s="75">
        <v>6.1850000000000002E-2</v>
      </c>
    </row>
    <row r="81" spans="1:7" x14ac:dyDescent="0.25">
      <c r="A81" s="74" t="s">
        <v>1927</v>
      </c>
      <c r="B81" s="31" t="s">
        <v>430</v>
      </c>
      <c r="C81" s="31" t="s">
        <v>197</v>
      </c>
      <c r="D81" s="14">
        <v>500000</v>
      </c>
      <c r="E81" s="15">
        <v>533.4</v>
      </c>
      <c r="F81" s="16">
        <v>1.1000000000000001E-3</v>
      </c>
      <c r="G81" s="75">
        <v>6.1700999999999999E-2</v>
      </c>
    </row>
    <row r="82" spans="1:7" x14ac:dyDescent="0.25">
      <c r="A82" s="74" t="s">
        <v>1928</v>
      </c>
      <c r="B82" s="31" t="s">
        <v>431</v>
      </c>
      <c r="C82" s="31" t="s">
        <v>197</v>
      </c>
      <c r="D82" s="14">
        <v>500000</v>
      </c>
      <c r="E82" s="15">
        <v>533.30999999999995</v>
      </c>
      <c r="F82" s="16">
        <v>1.1000000000000001E-3</v>
      </c>
      <c r="G82" s="75">
        <v>6.1749999999999999E-2</v>
      </c>
    </row>
    <row r="83" spans="1:7" x14ac:dyDescent="0.25">
      <c r="A83" s="74" t="s">
        <v>1929</v>
      </c>
      <c r="B83" s="31" t="s">
        <v>432</v>
      </c>
      <c r="C83" s="31" t="s">
        <v>197</v>
      </c>
      <c r="D83" s="14">
        <v>500000</v>
      </c>
      <c r="E83" s="15">
        <v>529.89</v>
      </c>
      <c r="F83" s="16">
        <v>1.1000000000000001E-3</v>
      </c>
      <c r="G83" s="75">
        <v>6.2715000000000007E-2</v>
      </c>
    </row>
    <row r="84" spans="1:7" x14ac:dyDescent="0.25">
      <c r="A84" s="74" t="s">
        <v>1930</v>
      </c>
      <c r="B84" s="31" t="s">
        <v>433</v>
      </c>
      <c r="C84" s="31" t="s">
        <v>197</v>
      </c>
      <c r="D84" s="14">
        <v>500000</v>
      </c>
      <c r="E84" s="15">
        <v>529.77</v>
      </c>
      <c r="F84" s="16">
        <v>1.1000000000000001E-3</v>
      </c>
      <c r="G84" s="75">
        <v>6.2784000000000006E-2</v>
      </c>
    </row>
    <row r="85" spans="1:7" x14ac:dyDescent="0.25">
      <c r="A85" s="74" t="s">
        <v>1931</v>
      </c>
      <c r="B85" s="31" t="s">
        <v>434</v>
      </c>
      <c r="C85" s="31" t="s">
        <v>197</v>
      </c>
      <c r="D85" s="14">
        <v>500000</v>
      </c>
      <c r="E85" s="15">
        <v>507.29</v>
      </c>
      <c r="F85" s="16">
        <v>1E-3</v>
      </c>
      <c r="G85" s="75">
        <v>6.2858999999999998E-2</v>
      </c>
    </row>
    <row r="86" spans="1:7" x14ac:dyDescent="0.25">
      <c r="A86" s="76" t="s">
        <v>90</v>
      </c>
      <c r="B86" s="32"/>
      <c r="C86" s="32"/>
      <c r="D86" s="18"/>
      <c r="E86" s="35">
        <v>320396</v>
      </c>
      <c r="F86" s="36">
        <v>0.63570000000000004</v>
      </c>
      <c r="G86" s="77"/>
    </row>
    <row r="87" spans="1:7" x14ac:dyDescent="0.25">
      <c r="A87" s="74"/>
      <c r="B87" s="31"/>
      <c r="C87" s="31"/>
      <c r="D87" s="14"/>
      <c r="E87" s="15"/>
      <c r="F87" s="16"/>
      <c r="G87" s="75"/>
    </row>
    <row r="88" spans="1:7" x14ac:dyDescent="0.25">
      <c r="A88" s="74"/>
      <c r="B88" s="31"/>
      <c r="C88" s="31"/>
      <c r="D88" s="14"/>
      <c r="E88" s="15"/>
      <c r="F88" s="16"/>
      <c r="G88" s="75"/>
    </row>
    <row r="89" spans="1:7" x14ac:dyDescent="0.25">
      <c r="A89" s="76" t="s">
        <v>91</v>
      </c>
      <c r="B89" s="31"/>
      <c r="C89" s="31"/>
      <c r="D89" s="14"/>
      <c r="E89" s="15"/>
      <c r="F89" s="16"/>
      <c r="G89" s="75"/>
    </row>
    <row r="90" spans="1:7" x14ac:dyDescent="0.25">
      <c r="A90" s="76" t="s">
        <v>90</v>
      </c>
      <c r="B90" s="31"/>
      <c r="C90" s="31"/>
      <c r="D90" s="14"/>
      <c r="E90" s="37" t="s">
        <v>85</v>
      </c>
      <c r="F90" s="38" t="s">
        <v>85</v>
      </c>
      <c r="G90" s="75"/>
    </row>
    <row r="91" spans="1:7" x14ac:dyDescent="0.25">
      <c r="A91" s="74"/>
      <c r="B91" s="31"/>
      <c r="C91" s="31"/>
      <c r="D91" s="14"/>
      <c r="E91" s="15"/>
      <c r="F91" s="16"/>
      <c r="G91" s="75"/>
    </row>
    <row r="92" spans="1:7" x14ac:dyDescent="0.25">
      <c r="A92" s="76" t="s">
        <v>92</v>
      </c>
      <c r="B92" s="31"/>
      <c r="C92" s="31"/>
      <c r="D92" s="14"/>
      <c r="E92" s="15"/>
      <c r="F92" s="16"/>
      <c r="G92" s="75"/>
    </row>
    <row r="93" spans="1:7" x14ac:dyDescent="0.25">
      <c r="A93" s="76" t="s">
        <v>90</v>
      </c>
      <c r="B93" s="31"/>
      <c r="C93" s="31"/>
      <c r="D93" s="14"/>
      <c r="E93" s="37" t="s">
        <v>85</v>
      </c>
      <c r="F93" s="38" t="s">
        <v>85</v>
      </c>
      <c r="G93" s="75"/>
    </row>
    <row r="94" spans="1:7" x14ac:dyDescent="0.25">
      <c r="A94" s="74"/>
      <c r="B94" s="31"/>
      <c r="C94" s="31"/>
      <c r="D94" s="14"/>
      <c r="E94" s="15"/>
      <c r="F94" s="16"/>
      <c r="G94" s="75"/>
    </row>
    <row r="95" spans="1:7" x14ac:dyDescent="0.25">
      <c r="A95" s="78" t="s">
        <v>93</v>
      </c>
      <c r="B95" s="79"/>
      <c r="C95" s="79"/>
      <c r="D95" s="80"/>
      <c r="E95" s="35">
        <v>490569.6</v>
      </c>
      <c r="F95" s="36">
        <v>0.97330000000000005</v>
      </c>
      <c r="G95" s="77"/>
    </row>
    <row r="96" spans="1:7" x14ac:dyDescent="0.25">
      <c r="A96" s="74"/>
      <c r="B96" s="31"/>
      <c r="C96" s="31"/>
      <c r="D96" s="14"/>
      <c r="E96" s="15"/>
      <c r="F96" s="16"/>
      <c r="G96" s="75"/>
    </row>
    <row r="97" spans="1:7" x14ac:dyDescent="0.25">
      <c r="A97" s="74"/>
      <c r="B97" s="31"/>
      <c r="C97" s="31"/>
      <c r="D97" s="14"/>
      <c r="E97" s="15"/>
      <c r="F97" s="16"/>
      <c r="G97" s="75"/>
    </row>
    <row r="98" spans="1:7" x14ac:dyDescent="0.25">
      <c r="A98" s="76" t="s">
        <v>110</v>
      </c>
      <c r="B98" s="31"/>
      <c r="C98" s="31"/>
      <c r="D98" s="14"/>
      <c r="E98" s="15"/>
      <c r="F98" s="16"/>
      <c r="G98" s="75"/>
    </row>
    <row r="99" spans="1:7" x14ac:dyDescent="0.25">
      <c r="A99" s="74" t="s">
        <v>111</v>
      </c>
      <c r="B99" s="31"/>
      <c r="C99" s="31"/>
      <c r="D99" s="14"/>
      <c r="E99" s="15">
        <v>27089.38</v>
      </c>
      <c r="F99" s="16">
        <v>5.3800000000000001E-2</v>
      </c>
      <c r="G99" s="75">
        <v>3.5790000000000002E-2</v>
      </c>
    </row>
    <row r="100" spans="1:7" x14ac:dyDescent="0.25">
      <c r="A100" s="76" t="s">
        <v>90</v>
      </c>
      <c r="B100" s="32"/>
      <c r="C100" s="32"/>
      <c r="D100" s="18"/>
      <c r="E100" s="35">
        <v>27089.38</v>
      </c>
      <c r="F100" s="36">
        <v>5.3800000000000001E-2</v>
      </c>
      <c r="G100" s="77"/>
    </row>
    <row r="101" spans="1:7" x14ac:dyDescent="0.25">
      <c r="A101" s="74"/>
      <c r="B101" s="31"/>
      <c r="C101" s="31"/>
      <c r="D101" s="14"/>
      <c r="E101" s="15"/>
      <c r="F101" s="16"/>
      <c r="G101" s="75"/>
    </row>
    <row r="102" spans="1:7" x14ac:dyDescent="0.25">
      <c r="A102" s="78" t="s">
        <v>93</v>
      </c>
      <c r="B102" s="79"/>
      <c r="C102" s="79"/>
      <c r="D102" s="80"/>
      <c r="E102" s="35">
        <v>27089.38</v>
      </c>
      <c r="F102" s="36">
        <v>5.3800000000000001E-2</v>
      </c>
      <c r="G102" s="77"/>
    </row>
    <row r="103" spans="1:7" x14ac:dyDescent="0.25">
      <c r="A103" s="74" t="s">
        <v>112</v>
      </c>
      <c r="B103" s="31"/>
      <c r="C103" s="31"/>
      <c r="D103" s="14"/>
      <c r="E103" s="15">
        <v>7126.4816105999998</v>
      </c>
      <c r="F103" s="16">
        <v>1.4141000000000001E-2</v>
      </c>
      <c r="G103" s="75"/>
    </row>
    <row r="104" spans="1:7" x14ac:dyDescent="0.25">
      <c r="A104" s="74" t="s">
        <v>113</v>
      </c>
      <c r="B104" s="31"/>
      <c r="C104" s="31"/>
      <c r="D104" s="14"/>
      <c r="E104" s="24">
        <v>-20849.031610599999</v>
      </c>
      <c r="F104" s="25">
        <v>-4.1241E-2</v>
      </c>
      <c r="G104" s="75">
        <v>3.5790000000000002E-2</v>
      </c>
    </row>
    <row r="105" spans="1:7" x14ac:dyDescent="0.25">
      <c r="A105" s="81" t="s">
        <v>114</v>
      </c>
      <c r="B105" s="34"/>
      <c r="C105" s="34"/>
      <c r="D105" s="27"/>
      <c r="E105" s="28">
        <v>503936.43</v>
      </c>
      <c r="F105" s="29">
        <v>1</v>
      </c>
      <c r="G105" s="82"/>
    </row>
    <row r="106" spans="1:7" x14ac:dyDescent="0.25">
      <c r="A106" s="54"/>
      <c r="B106" s="56"/>
      <c r="C106" s="56"/>
      <c r="D106" s="56"/>
      <c r="E106" s="56"/>
      <c r="F106" s="56"/>
      <c r="G106" s="66"/>
    </row>
    <row r="107" spans="1:7" x14ac:dyDescent="0.25">
      <c r="A107" s="83" t="s">
        <v>116</v>
      </c>
      <c r="B107" s="56"/>
      <c r="C107" s="56"/>
      <c r="D107" s="56"/>
      <c r="E107" s="56"/>
      <c r="F107" s="56"/>
      <c r="G107" s="66"/>
    </row>
    <row r="108" spans="1:7" x14ac:dyDescent="0.25">
      <c r="A108" s="54"/>
      <c r="B108" s="56"/>
      <c r="C108" s="56"/>
      <c r="D108" s="56"/>
      <c r="E108" s="56"/>
      <c r="F108" s="56"/>
      <c r="G108" s="66"/>
    </row>
    <row r="109" spans="1:7" x14ac:dyDescent="0.25">
      <c r="A109" s="54"/>
      <c r="B109" s="56"/>
      <c r="C109" s="56"/>
      <c r="D109" s="56"/>
      <c r="E109" s="56"/>
      <c r="F109" s="56"/>
      <c r="G109" s="66"/>
    </row>
    <row r="110" spans="1:7" x14ac:dyDescent="0.25">
      <c r="A110" s="83" t="s">
        <v>1476</v>
      </c>
      <c r="B110" s="56"/>
      <c r="C110" s="56"/>
      <c r="D110" s="56"/>
      <c r="E110" s="56"/>
      <c r="F110" s="56"/>
      <c r="G110" s="66"/>
    </row>
    <row r="111" spans="1:7" x14ac:dyDescent="0.25">
      <c r="A111" s="84" t="s">
        <v>1477</v>
      </c>
      <c r="B111" s="85" t="s">
        <v>85</v>
      </c>
      <c r="C111" s="56"/>
      <c r="D111" s="56"/>
      <c r="E111" s="56"/>
      <c r="F111" s="56"/>
      <c r="G111" s="66"/>
    </row>
    <row r="112" spans="1:7" x14ac:dyDescent="0.25">
      <c r="A112" s="54" t="s">
        <v>1626</v>
      </c>
      <c r="B112" s="56"/>
      <c r="C112" s="56"/>
      <c r="D112" s="56"/>
      <c r="E112" s="56"/>
      <c r="F112" s="56"/>
      <c r="G112" s="66"/>
    </row>
    <row r="113" spans="1:7" x14ac:dyDescent="0.25">
      <c r="A113" s="54" t="s">
        <v>1478</v>
      </c>
      <c r="B113" s="85" t="s">
        <v>1479</v>
      </c>
      <c r="C113" s="85" t="s">
        <v>1479</v>
      </c>
      <c r="D113" s="56"/>
      <c r="E113" s="56"/>
      <c r="F113" s="56"/>
      <c r="G113" s="66"/>
    </row>
    <row r="114" spans="1:7" x14ac:dyDescent="0.25">
      <c r="A114" s="54"/>
      <c r="B114" s="86">
        <v>44469</v>
      </c>
      <c r="C114" s="86">
        <v>44651</v>
      </c>
      <c r="D114" s="56"/>
      <c r="E114" s="56"/>
      <c r="F114" s="56"/>
      <c r="G114" s="66"/>
    </row>
    <row r="115" spans="1:7" x14ac:dyDescent="0.25">
      <c r="A115" s="54" t="s">
        <v>1483</v>
      </c>
      <c r="B115" s="56">
        <v>10.5449</v>
      </c>
      <c r="C115" s="56">
        <v>10.740500000000001</v>
      </c>
      <c r="D115" s="56"/>
      <c r="E115" s="59"/>
      <c r="F115" s="56"/>
      <c r="G115" s="87"/>
    </row>
    <row r="116" spans="1:7" x14ac:dyDescent="0.25">
      <c r="A116" s="54" t="s">
        <v>1484</v>
      </c>
      <c r="B116" s="56">
        <v>10.545199999999999</v>
      </c>
      <c r="C116" s="56">
        <v>10.7409</v>
      </c>
      <c r="D116" s="56"/>
      <c r="E116" s="59"/>
      <c r="F116" s="56"/>
      <c r="G116" s="87"/>
    </row>
    <row r="117" spans="1:7" x14ac:dyDescent="0.25">
      <c r="A117" s="54" t="s">
        <v>1503</v>
      </c>
      <c r="B117" s="56">
        <v>10.536300000000001</v>
      </c>
      <c r="C117" s="56">
        <v>10.7235</v>
      </c>
      <c r="D117" s="56"/>
      <c r="E117" s="59"/>
      <c r="F117" s="56"/>
      <c r="G117" s="87"/>
    </row>
    <row r="118" spans="1:7" x14ac:dyDescent="0.25">
      <c r="A118" s="54" t="s">
        <v>1504</v>
      </c>
      <c r="B118" s="56">
        <v>10.5367</v>
      </c>
      <c r="C118" s="56">
        <v>10.7239</v>
      </c>
      <c r="D118" s="56"/>
      <c r="E118" s="59"/>
      <c r="F118" s="56"/>
      <c r="G118" s="87"/>
    </row>
    <row r="119" spans="1:7" x14ac:dyDescent="0.25">
      <c r="A119" s="54"/>
      <c r="B119" s="56"/>
      <c r="C119" s="56"/>
      <c r="D119" s="56"/>
      <c r="E119" s="59"/>
      <c r="F119" s="56"/>
      <c r="G119" s="87"/>
    </row>
    <row r="120" spans="1:7" x14ac:dyDescent="0.25">
      <c r="A120" s="54" t="s">
        <v>2006</v>
      </c>
      <c r="B120" s="85" t="s">
        <v>85</v>
      </c>
      <c r="C120" s="56"/>
      <c r="D120" s="56"/>
      <c r="E120" s="56"/>
      <c r="F120" s="56"/>
      <c r="G120" s="66"/>
    </row>
    <row r="121" spans="1:7" x14ac:dyDescent="0.25">
      <c r="A121" s="54" t="s">
        <v>2008</v>
      </c>
      <c r="B121" s="85" t="s">
        <v>85</v>
      </c>
      <c r="C121" s="56"/>
      <c r="D121" s="56"/>
      <c r="E121" s="56"/>
      <c r="F121" s="56"/>
      <c r="G121" s="66"/>
    </row>
    <row r="122" spans="1:7" x14ac:dyDescent="0.25">
      <c r="A122" s="84" t="s">
        <v>2009</v>
      </c>
      <c r="B122" s="85" t="s">
        <v>85</v>
      </c>
      <c r="C122" s="56"/>
      <c r="D122" s="56"/>
      <c r="E122" s="56"/>
      <c r="F122" s="56"/>
      <c r="G122" s="66"/>
    </row>
    <row r="123" spans="1:7" x14ac:dyDescent="0.25">
      <c r="A123" s="84" t="s">
        <v>2010</v>
      </c>
      <c r="B123" s="85" t="s">
        <v>85</v>
      </c>
      <c r="C123" s="56"/>
      <c r="D123" s="56"/>
      <c r="E123" s="56"/>
      <c r="F123" s="56"/>
      <c r="G123" s="66"/>
    </row>
    <row r="124" spans="1:7" x14ac:dyDescent="0.25">
      <c r="A124" s="54" t="s">
        <v>1494</v>
      </c>
      <c r="B124" s="88">
        <v>3.784961</v>
      </c>
      <c r="C124" s="56"/>
      <c r="D124" s="56"/>
      <c r="E124" s="56"/>
      <c r="F124" s="56"/>
      <c r="G124" s="66"/>
    </row>
    <row r="125" spans="1:7" ht="30" x14ac:dyDescent="0.25">
      <c r="A125" s="84" t="s">
        <v>2011</v>
      </c>
      <c r="B125" s="85" t="s">
        <v>85</v>
      </c>
      <c r="C125" s="56"/>
      <c r="D125" s="56"/>
      <c r="E125" s="56"/>
      <c r="F125" s="56"/>
      <c r="G125" s="66"/>
    </row>
    <row r="126" spans="1:7" ht="30" x14ac:dyDescent="0.25">
      <c r="A126" s="84" t="s">
        <v>1495</v>
      </c>
      <c r="B126" s="85" t="s">
        <v>85</v>
      </c>
      <c r="C126" s="56"/>
      <c r="D126" s="56"/>
      <c r="E126" s="56"/>
      <c r="F126" s="56"/>
      <c r="G126" s="66"/>
    </row>
    <row r="127" spans="1:7" x14ac:dyDescent="0.25">
      <c r="A127" s="54" t="s">
        <v>1607</v>
      </c>
      <c r="B127" s="85" t="s">
        <v>85</v>
      </c>
      <c r="C127" s="56"/>
      <c r="D127" s="56"/>
      <c r="E127" s="56"/>
      <c r="F127" s="56"/>
      <c r="G127" s="66"/>
    </row>
    <row r="128" spans="1:7" x14ac:dyDescent="0.25">
      <c r="A128" s="54" t="s">
        <v>1608</v>
      </c>
      <c r="B128" s="85" t="s">
        <v>85</v>
      </c>
      <c r="C128" s="56"/>
      <c r="D128" s="56"/>
      <c r="E128" s="56"/>
      <c r="F128" s="56"/>
      <c r="G128" s="66"/>
    </row>
    <row r="129" spans="1:7" ht="15.75" thickBot="1" x14ac:dyDescent="0.3">
      <c r="A129" s="89"/>
      <c r="B129" s="90"/>
      <c r="C129" s="90"/>
      <c r="D129" s="90"/>
      <c r="E129" s="90"/>
      <c r="F129" s="90"/>
      <c r="G129" s="91"/>
    </row>
    <row r="132" spans="1:7" ht="30" x14ac:dyDescent="0.25">
      <c r="A132" s="107" t="s">
        <v>2042</v>
      </c>
      <c r="B132" s="108" t="s">
        <v>2043</v>
      </c>
      <c r="C132" s="108" t="s">
        <v>2044</v>
      </c>
      <c r="D132" s="109" t="s">
        <v>2045</v>
      </c>
    </row>
    <row r="133" spans="1:7" ht="48.75" customHeight="1" x14ac:dyDescent="0.25">
      <c r="A133" s="110" t="str">
        <f>HYPERLINK("[EDEL_Portfolio Monthly 28-Feb-2022.xlsx]EDNPSF!A1","Edelweiss NY PSU BD Pl SDL Idx Fund-2026")</f>
        <v>Edelweiss NY PSU BD Pl SDL Idx Fund-2026</v>
      </c>
      <c r="B133" s="111"/>
      <c r="C133" s="112" t="s">
        <v>2057</v>
      </c>
      <c r="D133" s="111"/>
    </row>
  </sheetData>
  <mergeCells count="2">
    <mergeCell ref="A3:G3"/>
    <mergeCell ref="A4:G4"/>
  </mergeCells>
  <pageMargins left="0.7" right="0.7" top="0.75" bottom="0.75" header="0.3" footer="0.3"/>
  <pageSetup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70"/>
  <sheetViews>
    <sheetView showGridLines="0" workbookViewId="0">
      <pane ySplit="6" topLeftCell="A67"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9" x14ac:dyDescent="0.25">
      <c r="A1" s="50" t="s">
        <v>1613</v>
      </c>
    </row>
    <row r="2" spans="1:9" ht="30.75" thickBot="1" x14ac:dyDescent="0.3">
      <c r="A2" s="65" t="s">
        <v>2083</v>
      </c>
    </row>
    <row r="3" spans="1:9" ht="36.75" customHeight="1" x14ac:dyDescent="0.25">
      <c r="A3" s="138" t="s">
        <v>36</v>
      </c>
      <c r="B3" s="139"/>
      <c r="C3" s="139"/>
      <c r="D3" s="139"/>
      <c r="E3" s="139"/>
      <c r="F3" s="139"/>
      <c r="G3" s="140"/>
      <c r="H3" s="46" t="str">
        <f>HYPERLINK("[EDEL_Portfolio HY 31032022.xlsx]Index!A1","Index")</f>
        <v>Index</v>
      </c>
    </row>
    <row r="4" spans="1:9" ht="19.5" customHeight="1" x14ac:dyDescent="0.25">
      <c r="A4" s="141" t="s">
        <v>37</v>
      </c>
      <c r="B4" s="142"/>
      <c r="C4" s="142"/>
      <c r="D4" s="142"/>
      <c r="E4" s="142"/>
      <c r="F4" s="142"/>
      <c r="G4" s="143"/>
    </row>
    <row r="5" spans="1:9" x14ac:dyDescent="0.25">
      <c r="A5" s="54"/>
      <c r="B5" s="56"/>
      <c r="C5" s="56"/>
      <c r="D5" s="56"/>
      <c r="E5" s="56"/>
      <c r="F5" s="56"/>
      <c r="G5" s="66"/>
    </row>
    <row r="6" spans="1:9" ht="48" customHeight="1" x14ac:dyDescent="0.25">
      <c r="A6" s="67" t="s">
        <v>0</v>
      </c>
      <c r="B6" s="68" t="s">
        <v>1</v>
      </c>
      <c r="C6" s="68" t="s">
        <v>5</v>
      </c>
      <c r="D6" s="69" t="s">
        <v>2</v>
      </c>
      <c r="E6" s="70" t="s">
        <v>4</v>
      </c>
      <c r="F6" s="70" t="s">
        <v>3</v>
      </c>
      <c r="G6" s="71" t="s">
        <v>6</v>
      </c>
    </row>
    <row r="7" spans="1:9" x14ac:dyDescent="0.25">
      <c r="A7" s="72"/>
      <c r="B7" s="30"/>
      <c r="C7" s="30"/>
      <c r="D7" s="9"/>
      <c r="E7" s="10"/>
      <c r="F7" s="11"/>
      <c r="G7" s="73"/>
    </row>
    <row r="8" spans="1:9" x14ac:dyDescent="0.25">
      <c r="A8" s="74"/>
      <c r="B8" s="31"/>
      <c r="C8" s="31"/>
      <c r="D8" s="14"/>
      <c r="E8" s="15"/>
      <c r="F8" s="16"/>
      <c r="G8" s="75"/>
      <c r="I8" s="56"/>
    </row>
    <row r="9" spans="1:9" x14ac:dyDescent="0.25">
      <c r="A9" s="76" t="s">
        <v>84</v>
      </c>
      <c r="B9" s="31"/>
      <c r="C9" s="31"/>
      <c r="D9" s="14"/>
      <c r="E9" s="52" t="s">
        <v>85</v>
      </c>
      <c r="F9" s="53" t="s">
        <v>85</v>
      </c>
      <c r="G9" s="75"/>
      <c r="I9" s="56"/>
    </row>
    <row r="10" spans="1:9" x14ac:dyDescent="0.25">
      <c r="A10" s="74"/>
      <c r="B10" s="31"/>
      <c r="C10" s="31"/>
      <c r="D10" s="14"/>
      <c r="E10" s="15"/>
      <c r="F10" s="16"/>
      <c r="G10" s="75"/>
      <c r="I10" s="56"/>
    </row>
    <row r="11" spans="1:9" x14ac:dyDescent="0.25">
      <c r="A11" s="74"/>
      <c r="B11" s="31"/>
      <c r="C11" s="31"/>
      <c r="D11" s="14"/>
      <c r="E11" s="15"/>
      <c r="F11" s="16"/>
      <c r="G11" s="75"/>
      <c r="I11" s="56"/>
    </row>
    <row r="12" spans="1:9" x14ac:dyDescent="0.25">
      <c r="A12" s="76" t="s">
        <v>110</v>
      </c>
      <c r="B12" s="31"/>
      <c r="C12" s="31"/>
      <c r="D12" s="14"/>
      <c r="E12" s="15"/>
      <c r="F12" s="16"/>
      <c r="G12" s="75"/>
      <c r="I12" s="56"/>
    </row>
    <row r="13" spans="1:9" x14ac:dyDescent="0.25">
      <c r="A13" s="74" t="s">
        <v>111</v>
      </c>
      <c r="B13" s="31"/>
      <c r="C13" s="31"/>
      <c r="D13" s="14"/>
      <c r="E13" s="15">
        <v>90589.47</v>
      </c>
      <c r="F13" s="16">
        <v>0.99239999999999995</v>
      </c>
      <c r="G13" s="75">
        <v>3.5790000000000002E-2</v>
      </c>
      <c r="I13" s="56"/>
    </row>
    <row r="14" spans="1:9" x14ac:dyDescent="0.25">
      <c r="A14" s="76" t="s">
        <v>90</v>
      </c>
      <c r="B14" s="32"/>
      <c r="C14" s="32"/>
      <c r="D14" s="18"/>
      <c r="E14" s="35">
        <v>90589.47</v>
      </c>
      <c r="F14" s="36">
        <v>0.99239999999999995</v>
      </c>
      <c r="G14" s="77"/>
      <c r="I14" s="56"/>
    </row>
    <row r="15" spans="1:9" x14ac:dyDescent="0.25">
      <c r="A15" s="74"/>
      <c r="B15" s="31"/>
      <c r="C15" s="31"/>
      <c r="D15" s="14"/>
      <c r="E15" s="15"/>
      <c r="F15" s="16"/>
      <c r="G15" s="75"/>
      <c r="I15" s="56"/>
    </row>
    <row r="16" spans="1:9" x14ac:dyDescent="0.25">
      <c r="A16" s="78" t="s">
        <v>93</v>
      </c>
      <c r="B16" s="79"/>
      <c r="C16" s="79"/>
      <c r="D16" s="80"/>
      <c r="E16" s="35">
        <v>90589.47</v>
      </c>
      <c r="F16" s="36">
        <v>0.99239999999999995</v>
      </c>
      <c r="G16" s="77"/>
      <c r="I16" s="56"/>
    </row>
    <row r="17" spans="1:11" x14ac:dyDescent="0.25">
      <c r="A17" s="74" t="s">
        <v>112</v>
      </c>
      <c r="B17" s="31"/>
      <c r="C17" s="31"/>
      <c r="D17" s="14"/>
      <c r="E17" s="15">
        <v>8.8827318000000002</v>
      </c>
      <c r="F17" s="16">
        <v>9.7E-5</v>
      </c>
      <c r="G17" s="75"/>
      <c r="I17" s="56"/>
    </row>
    <row r="18" spans="1:11" x14ac:dyDescent="0.25">
      <c r="A18" s="74" t="s">
        <v>113</v>
      </c>
      <c r="B18" s="31"/>
      <c r="C18" s="31"/>
      <c r="D18" s="14"/>
      <c r="E18" s="15">
        <v>682.0072682</v>
      </c>
      <c r="F18" s="16">
        <v>7.5030000000000001E-3</v>
      </c>
      <c r="G18" s="75">
        <v>3.5790000000000002E-2</v>
      </c>
      <c r="I18" s="56"/>
    </row>
    <row r="19" spans="1:11" x14ac:dyDescent="0.25">
      <c r="A19" s="81" t="s">
        <v>114</v>
      </c>
      <c r="B19" s="34"/>
      <c r="C19" s="34"/>
      <c r="D19" s="27"/>
      <c r="E19" s="28">
        <v>91280.36</v>
      </c>
      <c r="F19" s="29">
        <v>1</v>
      </c>
      <c r="G19" s="82"/>
      <c r="I19" s="56"/>
    </row>
    <row r="20" spans="1:11" x14ac:dyDescent="0.25">
      <c r="A20" s="54"/>
      <c r="B20" s="56"/>
      <c r="C20" s="56"/>
      <c r="D20" s="56"/>
      <c r="E20" s="56"/>
      <c r="F20" s="56"/>
      <c r="G20" s="66"/>
      <c r="I20" s="56"/>
    </row>
    <row r="21" spans="1:11" x14ac:dyDescent="0.25">
      <c r="A21" s="54"/>
      <c r="B21" s="56"/>
      <c r="C21" s="56"/>
      <c r="D21" s="56"/>
      <c r="E21" s="56"/>
      <c r="F21" s="56"/>
      <c r="G21" s="66"/>
      <c r="I21" s="56"/>
    </row>
    <row r="22" spans="1:11" x14ac:dyDescent="0.25">
      <c r="A22" s="83" t="s">
        <v>1476</v>
      </c>
      <c r="B22" s="56"/>
      <c r="C22" s="56"/>
      <c r="D22" s="56"/>
      <c r="E22" s="56"/>
      <c r="F22" s="56"/>
      <c r="G22" s="66"/>
      <c r="I22" s="56"/>
    </row>
    <row r="23" spans="1:11" x14ac:dyDescent="0.25">
      <c r="A23" s="84" t="s">
        <v>1477</v>
      </c>
      <c r="B23" s="85" t="s">
        <v>85</v>
      </c>
      <c r="C23" s="56"/>
      <c r="D23" s="56"/>
      <c r="E23" s="56"/>
      <c r="F23" s="56"/>
      <c r="G23" s="66"/>
      <c r="I23" s="56"/>
    </row>
    <row r="24" spans="1:11" x14ac:dyDescent="0.25">
      <c r="A24" s="54" t="s">
        <v>1626</v>
      </c>
      <c r="B24" s="56"/>
      <c r="C24" s="56"/>
      <c r="D24" s="56"/>
      <c r="E24" s="56"/>
      <c r="F24" s="56"/>
      <c r="G24" s="66"/>
      <c r="I24" s="56"/>
    </row>
    <row r="25" spans="1:11" x14ac:dyDescent="0.25">
      <c r="A25" s="54" t="s">
        <v>1496</v>
      </c>
      <c r="B25" s="85" t="s">
        <v>1479</v>
      </c>
      <c r="C25" s="85" t="s">
        <v>1479</v>
      </c>
      <c r="D25" s="56"/>
      <c r="E25" s="56"/>
      <c r="F25" s="56"/>
      <c r="G25" s="66"/>
      <c r="I25" s="56"/>
    </row>
    <row r="26" spans="1:11" x14ac:dyDescent="0.25">
      <c r="A26" s="54"/>
      <c r="B26" s="86">
        <v>44469</v>
      </c>
      <c r="C26" s="86">
        <v>44651</v>
      </c>
      <c r="D26" s="56"/>
      <c r="E26" s="56"/>
      <c r="F26" s="56"/>
      <c r="G26" s="66"/>
      <c r="I26" s="56"/>
    </row>
    <row r="27" spans="1:11" x14ac:dyDescent="0.25">
      <c r="A27" s="54" t="s">
        <v>1480</v>
      </c>
      <c r="B27" s="85">
        <v>1084.5255</v>
      </c>
      <c r="C27" s="85">
        <v>1102.3534999999999</v>
      </c>
      <c r="D27" s="56"/>
      <c r="E27" s="59"/>
      <c r="F27" s="56"/>
      <c r="G27" s="87"/>
      <c r="I27" s="56"/>
      <c r="K27" s="3"/>
    </row>
    <row r="28" spans="1:11" x14ac:dyDescent="0.25">
      <c r="A28" s="54" t="s">
        <v>1518</v>
      </c>
      <c r="B28" s="99">
        <v>1000</v>
      </c>
      <c r="C28" s="99">
        <v>1000</v>
      </c>
      <c r="D28" s="56"/>
      <c r="E28" s="59"/>
      <c r="F28" s="56"/>
      <c r="G28" s="87"/>
      <c r="I28" s="56"/>
      <c r="K28" s="57"/>
    </row>
    <row r="29" spans="1:11" x14ac:dyDescent="0.25">
      <c r="A29" s="54" t="s">
        <v>1499</v>
      </c>
      <c r="B29" s="85">
        <v>1049.4617000000001</v>
      </c>
      <c r="C29" s="85">
        <v>1049.5758000000001</v>
      </c>
      <c r="D29" s="56"/>
      <c r="E29" s="59"/>
      <c r="F29" s="56"/>
      <c r="G29" s="87"/>
      <c r="I29" s="56"/>
      <c r="K29" s="3"/>
    </row>
    <row r="30" spans="1:11" x14ac:dyDescent="0.25">
      <c r="A30" s="54" t="s">
        <v>1483</v>
      </c>
      <c r="B30" s="85">
        <v>1084.2924</v>
      </c>
      <c r="C30" s="85">
        <v>1102.0707</v>
      </c>
      <c r="D30" s="56"/>
      <c r="E30" s="59"/>
      <c r="F30" s="56"/>
      <c r="G30" s="87"/>
      <c r="I30" s="56"/>
      <c r="K30" s="3"/>
    </row>
    <row r="31" spans="1:11" x14ac:dyDescent="0.25">
      <c r="A31" s="54" t="s">
        <v>1500</v>
      </c>
      <c r="B31" s="85">
        <v>1057.9521</v>
      </c>
      <c r="C31" s="85">
        <v>1058.0510999999999</v>
      </c>
      <c r="D31" s="56"/>
      <c r="E31" s="59"/>
      <c r="F31" s="56"/>
      <c r="G31" s="87"/>
      <c r="I31" s="56"/>
      <c r="K31" s="3"/>
    </row>
    <row r="32" spans="1:11" x14ac:dyDescent="0.25">
      <c r="A32" s="54" t="s">
        <v>1501</v>
      </c>
      <c r="B32" s="85">
        <v>1065.0607</v>
      </c>
      <c r="C32" s="85" t="s">
        <v>1482</v>
      </c>
      <c r="D32" s="56"/>
      <c r="E32" s="59"/>
      <c r="F32" s="56"/>
      <c r="G32" s="87"/>
      <c r="I32" s="56"/>
      <c r="K32" s="3"/>
    </row>
    <row r="33" spans="1:11" x14ac:dyDescent="0.25">
      <c r="A33" s="54" t="s">
        <v>1519</v>
      </c>
      <c r="B33" s="85" t="s">
        <v>1482</v>
      </c>
      <c r="C33" s="85">
        <v>1100.2706000000001</v>
      </c>
      <c r="D33" s="56"/>
      <c r="E33" s="59"/>
      <c r="F33" s="56"/>
      <c r="G33" s="87"/>
      <c r="I33" s="56"/>
      <c r="K33" s="3"/>
    </row>
    <row r="34" spans="1:11" x14ac:dyDescent="0.25">
      <c r="A34" s="54" t="s">
        <v>1520</v>
      </c>
      <c r="B34" s="99">
        <v>1008.1128</v>
      </c>
      <c r="C34" s="85">
        <v>1008.1128</v>
      </c>
      <c r="D34" s="56"/>
      <c r="E34" s="59"/>
      <c r="F34" s="56"/>
      <c r="G34" s="87"/>
      <c r="I34" s="56"/>
      <c r="K34" s="57"/>
    </row>
    <row r="35" spans="1:11" x14ac:dyDescent="0.25">
      <c r="A35" s="54" t="s">
        <v>1502</v>
      </c>
      <c r="B35" s="85" t="s">
        <v>1482</v>
      </c>
      <c r="C35" s="85">
        <v>1095.2364</v>
      </c>
      <c r="D35" s="56"/>
      <c r="E35" s="59"/>
      <c r="F35" s="56"/>
      <c r="G35" s="87"/>
      <c r="I35" s="56"/>
      <c r="K35" s="3"/>
    </row>
    <row r="36" spans="1:11" x14ac:dyDescent="0.25">
      <c r="A36" s="54" t="s">
        <v>1503</v>
      </c>
      <c r="B36" s="85">
        <v>1082.7925</v>
      </c>
      <c r="C36" s="85">
        <v>1100.2716</v>
      </c>
      <c r="D36" s="56"/>
      <c r="E36" s="59"/>
      <c r="F36" s="56"/>
      <c r="G36" s="87"/>
      <c r="I36" s="56"/>
      <c r="K36" s="3"/>
    </row>
    <row r="37" spans="1:11" x14ac:dyDescent="0.25">
      <c r="A37" s="54" t="s">
        <v>1505</v>
      </c>
      <c r="B37" s="85">
        <v>1003.8665999999999</v>
      </c>
      <c r="C37" s="85">
        <v>1003.9578</v>
      </c>
      <c r="D37" s="56"/>
      <c r="E37" s="59"/>
      <c r="F37" s="56"/>
      <c r="G37" s="87"/>
      <c r="I37" s="56"/>
      <c r="K37" s="3"/>
    </row>
    <row r="38" spans="1:11" x14ac:dyDescent="0.25">
      <c r="A38" s="54" t="s">
        <v>1506</v>
      </c>
      <c r="B38" s="85">
        <v>1015.3333</v>
      </c>
      <c r="C38" s="85">
        <v>1015.9517</v>
      </c>
      <c r="D38" s="56"/>
      <c r="E38" s="59"/>
      <c r="F38" s="56"/>
      <c r="G38" s="87"/>
      <c r="I38" s="56"/>
      <c r="K38" s="3"/>
    </row>
    <row r="39" spans="1:11" x14ac:dyDescent="0.25">
      <c r="A39" s="100" t="s">
        <v>1553</v>
      </c>
      <c r="B39" s="85" t="s">
        <v>1482</v>
      </c>
      <c r="C39" s="85">
        <v>1008.3338</v>
      </c>
      <c r="D39" s="56"/>
      <c r="E39" s="59"/>
      <c r="F39" s="56"/>
      <c r="G39" s="87"/>
      <c r="I39" s="56"/>
      <c r="K39" s="3"/>
    </row>
    <row r="40" spans="1:11" x14ac:dyDescent="0.25">
      <c r="A40" s="100" t="s">
        <v>1554</v>
      </c>
      <c r="B40" s="85" t="s">
        <v>1482</v>
      </c>
      <c r="C40" s="99">
        <v>1000</v>
      </c>
      <c r="D40" s="56"/>
      <c r="E40" s="59"/>
      <c r="F40" s="56"/>
      <c r="G40" s="87"/>
      <c r="I40" s="56"/>
      <c r="K40" s="3"/>
    </row>
    <row r="41" spans="1:11" x14ac:dyDescent="0.25">
      <c r="A41" s="100" t="s">
        <v>1555</v>
      </c>
      <c r="B41" s="85" t="s">
        <v>1482</v>
      </c>
      <c r="C41" s="85">
        <v>1008.3338</v>
      </c>
      <c r="D41" s="56"/>
      <c r="E41" s="59"/>
      <c r="F41" s="56"/>
      <c r="G41" s="87"/>
      <c r="I41" s="56"/>
      <c r="K41" s="3"/>
    </row>
    <row r="42" spans="1:11" x14ac:dyDescent="0.25">
      <c r="A42" s="100" t="s">
        <v>1556</v>
      </c>
      <c r="B42" s="85" t="s">
        <v>1482</v>
      </c>
      <c r="C42" s="99">
        <v>1000</v>
      </c>
      <c r="D42" s="56"/>
      <c r="E42" s="59"/>
      <c r="F42" s="56"/>
      <c r="G42" s="87"/>
      <c r="I42" s="56"/>
      <c r="K42" s="3"/>
    </row>
    <row r="43" spans="1:11" x14ac:dyDescent="0.25">
      <c r="A43" s="100"/>
      <c r="B43" s="85"/>
      <c r="C43" s="85"/>
      <c r="D43" s="56"/>
      <c r="E43" s="59"/>
      <c r="F43" s="56"/>
      <c r="G43" s="87"/>
      <c r="I43" s="56"/>
      <c r="K43" s="3"/>
    </row>
    <row r="44" spans="1:11" s="56" customFormat="1" x14ac:dyDescent="0.25">
      <c r="A44" s="54" t="s">
        <v>1493</v>
      </c>
      <c r="E44" s="59"/>
      <c r="G44" s="87"/>
    </row>
    <row r="45" spans="1:11" x14ac:dyDescent="0.25">
      <c r="A45" s="54"/>
      <c r="B45" s="56"/>
      <c r="C45" s="56"/>
      <c r="D45" s="56"/>
      <c r="E45" s="56"/>
      <c r="F45" s="56"/>
      <c r="G45" s="66"/>
    </row>
    <row r="46" spans="1:11" x14ac:dyDescent="0.25">
      <c r="A46" s="54" t="s">
        <v>2007</v>
      </c>
      <c r="B46" s="56"/>
      <c r="C46" s="56"/>
      <c r="D46" s="56"/>
      <c r="E46" s="56"/>
      <c r="F46" s="56"/>
      <c r="G46" s="66"/>
    </row>
    <row r="47" spans="1:11" x14ac:dyDescent="0.25">
      <c r="A47" s="54"/>
      <c r="B47" s="56"/>
      <c r="C47" s="56"/>
      <c r="D47" s="56"/>
      <c r="E47" s="56"/>
      <c r="F47" s="56"/>
      <c r="G47" s="66"/>
    </row>
    <row r="48" spans="1:11" x14ac:dyDescent="0.25">
      <c r="A48" s="93" t="s">
        <v>1507</v>
      </c>
      <c r="B48" s="94" t="s">
        <v>1508</v>
      </c>
      <c r="C48" s="95" t="s">
        <v>2018</v>
      </c>
      <c r="D48" s="95" t="s">
        <v>2019</v>
      </c>
      <c r="E48" s="56"/>
      <c r="F48" s="56"/>
      <c r="G48" s="66"/>
    </row>
    <row r="49" spans="1:7" x14ac:dyDescent="0.25">
      <c r="A49" s="96" t="s">
        <v>1521</v>
      </c>
      <c r="B49" s="97"/>
      <c r="C49" s="97">
        <v>15.7561003</v>
      </c>
      <c r="D49" s="97">
        <v>15.7561003</v>
      </c>
      <c r="E49" s="56"/>
      <c r="F49" s="56"/>
      <c r="G49" s="66"/>
    </row>
    <row r="50" spans="1:7" x14ac:dyDescent="0.25">
      <c r="A50" s="96" t="s">
        <v>1522</v>
      </c>
      <c r="B50" s="97"/>
      <c r="C50" s="97">
        <v>15.9833505</v>
      </c>
      <c r="D50" s="97">
        <v>15.9833505</v>
      </c>
      <c r="E50" s="56"/>
      <c r="F50" s="56"/>
      <c r="G50" s="66"/>
    </row>
    <row r="51" spans="1:7" x14ac:dyDescent="0.25">
      <c r="A51" s="96" t="s">
        <v>1523</v>
      </c>
      <c r="B51" s="97"/>
      <c r="C51" s="97">
        <v>16.3903906</v>
      </c>
      <c r="D51" s="97">
        <v>16.3903906</v>
      </c>
      <c r="E51" s="56"/>
      <c r="F51" s="56"/>
      <c r="G51" s="66"/>
    </row>
    <row r="52" spans="1:7" x14ac:dyDescent="0.25">
      <c r="A52" s="96" t="s">
        <v>1524</v>
      </c>
      <c r="B52" s="97"/>
      <c r="C52" s="97">
        <v>16.2302915</v>
      </c>
      <c r="D52" s="97">
        <v>16.2302915</v>
      </c>
      <c r="E52" s="56"/>
      <c r="F52" s="56"/>
      <c r="G52" s="66"/>
    </row>
    <row r="53" spans="1:7" x14ac:dyDescent="0.25">
      <c r="A53" s="96" t="s">
        <v>1525</v>
      </c>
      <c r="B53" s="97"/>
      <c r="C53" s="97">
        <v>17.3165975</v>
      </c>
      <c r="D53" s="97">
        <v>17.3165975</v>
      </c>
      <c r="E53" s="56"/>
      <c r="F53" s="56"/>
      <c r="G53" s="66"/>
    </row>
    <row r="54" spans="1:7" x14ac:dyDescent="0.25">
      <c r="A54" s="96" t="s">
        <v>1526</v>
      </c>
      <c r="B54" s="97"/>
      <c r="C54" s="97">
        <v>16.746316799999999</v>
      </c>
      <c r="D54" s="97">
        <v>16.746316799999999</v>
      </c>
      <c r="E54" s="56"/>
      <c r="F54" s="56"/>
      <c r="G54" s="66"/>
    </row>
    <row r="55" spans="1:7" x14ac:dyDescent="0.25">
      <c r="A55" s="96" t="s">
        <v>1527</v>
      </c>
      <c r="B55" s="97"/>
      <c r="C55" s="97">
        <v>5.0248315999999997</v>
      </c>
      <c r="D55" s="97">
        <v>5.0248315999999997</v>
      </c>
      <c r="E55" s="56"/>
      <c r="F55" s="56"/>
      <c r="G55" s="66"/>
    </row>
    <row r="56" spans="1:7" x14ac:dyDescent="0.25">
      <c r="A56" s="96" t="s">
        <v>1528</v>
      </c>
      <c r="B56" s="97"/>
      <c r="C56" s="97">
        <v>17.153843299999998</v>
      </c>
      <c r="D56" s="97">
        <v>17.153843299999998</v>
      </c>
      <c r="E56" s="56"/>
      <c r="F56" s="56"/>
      <c r="G56" s="66"/>
    </row>
    <row r="57" spans="1:7" x14ac:dyDescent="0.25">
      <c r="A57" s="54"/>
      <c r="B57" s="56"/>
      <c r="C57" s="56"/>
      <c r="D57" s="56"/>
      <c r="E57" s="56"/>
      <c r="F57" s="56"/>
      <c r="G57" s="66"/>
    </row>
    <row r="58" spans="1:7" x14ac:dyDescent="0.25">
      <c r="A58" s="54" t="s">
        <v>2008</v>
      </c>
      <c r="B58" s="85" t="s">
        <v>85</v>
      </c>
      <c r="C58" s="56"/>
      <c r="D58" s="56"/>
      <c r="E58" s="56"/>
      <c r="F58" s="56"/>
      <c r="G58" s="66"/>
    </row>
    <row r="59" spans="1:7" x14ac:dyDescent="0.25">
      <c r="A59" s="84" t="s">
        <v>2009</v>
      </c>
      <c r="B59" s="85" t="s">
        <v>85</v>
      </c>
      <c r="C59" s="56"/>
      <c r="D59" s="56"/>
      <c r="E59" s="56"/>
      <c r="F59" s="56"/>
      <c r="G59" s="66"/>
    </row>
    <row r="60" spans="1:7" x14ac:dyDescent="0.25">
      <c r="A60" s="84" t="s">
        <v>2010</v>
      </c>
      <c r="B60" s="85" t="s">
        <v>85</v>
      </c>
      <c r="C60" s="56"/>
      <c r="D60" s="56"/>
      <c r="E60" s="56"/>
      <c r="F60" s="56"/>
      <c r="G60" s="66"/>
    </row>
    <row r="61" spans="1:7" x14ac:dyDescent="0.25">
      <c r="A61" s="54" t="s">
        <v>1494</v>
      </c>
      <c r="B61" s="88">
        <v>8.1560000000000001E-3</v>
      </c>
      <c r="C61" s="56"/>
      <c r="D61" s="56"/>
      <c r="E61" s="56"/>
      <c r="F61" s="56"/>
      <c r="G61" s="66"/>
    </row>
    <row r="62" spans="1:7" ht="30" x14ac:dyDescent="0.25">
      <c r="A62" s="84" t="s">
        <v>2011</v>
      </c>
      <c r="B62" s="85" t="s">
        <v>85</v>
      </c>
      <c r="C62" s="56"/>
      <c r="D62" s="56"/>
      <c r="E62" s="56"/>
      <c r="F62" s="56"/>
      <c r="G62" s="66"/>
    </row>
    <row r="63" spans="1:7" ht="30" x14ac:dyDescent="0.25">
      <c r="A63" s="84" t="s">
        <v>1495</v>
      </c>
      <c r="B63" s="85" t="s">
        <v>85</v>
      </c>
      <c r="C63" s="56"/>
      <c r="D63" s="56"/>
      <c r="E63" s="56"/>
      <c r="F63" s="56"/>
      <c r="G63" s="66"/>
    </row>
    <row r="64" spans="1:7" x14ac:dyDescent="0.25">
      <c r="A64" s="54" t="s">
        <v>1607</v>
      </c>
      <c r="B64" s="85" t="s">
        <v>85</v>
      </c>
      <c r="C64" s="56"/>
      <c r="D64" s="56"/>
      <c r="E64" s="56"/>
      <c r="F64" s="56"/>
      <c r="G64" s="66"/>
    </row>
    <row r="65" spans="1:7" x14ac:dyDescent="0.25">
      <c r="A65" s="54" t="s">
        <v>1608</v>
      </c>
      <c r="B65" s="85" t="s">
        <v>85</v>
      </c>
      <c r="C65" s="56"/>
      <c r="D65" s="56"/>
      <c r="E65" s="56"/>
      <c r="F65" s="56"/>
      <c r="G65" s="66"/>
    </row>
    <row r="66" spans="1:7" ht="15.75" thickBot="1" x14ac:dyDescent="0.3">
      <c r="A66" s="89"/>
      <c r="B66" s="90"/>
      <c r="C66" s="90"/>
      <c r="D66" s="90"/>
      <c r="E66" s="90"/>
      <c r="F66" s="90"/>
      <c r="G66" s="91"/>
    </row>
    <row r="69" spans="1:7" ht="30" x14ac:dyDescent="0.25">
      <c r="A69" s="107" t="s">
        <v>2042</v>
      </c>
      <c r="B69" s="108" t="s">
        <v>2043</v>
      </c>
      <c r="C69" s="108" t="s">
        <v>2044</v>
      </c>
      <c r="D69" s="109" t="s">
        <v>2045</v>
      </c>
    </row>
    <row r="70" spans="1:7" ht="58.5" customHeight="1" x14ac:dyDescent="0.25">
      <c r="A70" s="110" t="str">
        <f>HYPERLINK("[EDEL_Portfolio Monthly 28-Feb-2022.xlsx]EDONTF!A1","EDELWEISS OVERNIGHT FUND")</f>
        <v>EDELWEISS OVERNIGHT FUND</v>
      </c>
      <c r="B70" s="111"/>
      <c r="C70" s="111" t="s">
        <v>2058</v>
      </c>
      <c r="D70" s="111"/>
    </row>
  </sheetData>
  <mergeCells count="2">
    <mergeCell ref="A3:G3"/>
    <mergeCell ref="A4:G4"/>
  </mergeCells>
  <pageMargins left="0.7" right="0.7" top="0.75" bottom="0.75" header="0.3" footer="0.3"/>
  <pageSetup orientation="portrait" horizontalDpi="300" verticalDpi="3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463"/>
  <sheetViews>
    <sheetView showGridLines="0" topLeftCell="D1" workbookViewId="0">
      <pane ySplit="6" topLeftCell="A11"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9" max="9" width="27.28515625" bestFit="1" customWidth="1"/>
    <col min="11" max="11" width="5.7109375"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38</v>
      </c>
      <c r="B3" s="139"/>
      <c r="C3" s="139"/>
      <c r="D3" s="139"/>
      <c r="E3" s="139"/>
      <c r="F3" s="139"/>
      <c r="G3" s="140"/>
      <c r="H3" s="46" t="str">
        <f>HYPERLINK("[EDEL_Portfolio HY 31032022.xlsx]Index!A1","Index")</f>
        <v>Index</v>
      </c>
    </row>
    <row r="4" spans="1:8" ht="19.5" customHeight="1" x14ac:dyDescent="0.25">
      <c r="A4" s="141" t="s">
        <v>39</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6" t="s">
        <v>84</v>
      </c>
      <c r="B8" s="31"/>
      <c r="C8" s="31"/>
      <c r="D8" s="14"/>
      <c r="E8" s="15"/>
      <c r="F8" s="16"/>
      <c r="G8" s="75"/>
    </row>
    <row r="9" spans="1:8" x14ac:dyDescent="0.25">
      <c r="A9" s="76" t="s">
        <v>435</v>
      </c>
      <c r="B9" s="31"/>
      <c r="C9" s="31"/>
      <c r="D9" s="14"/>
      <c r="E9" s="15"/>
      <c r="F9" s="16"/>
      <c r="G9" s="75"/>
    </row>
    <row r="10" spans="1:8" x14ac:dyDescent="0.25">
      <c r="A10" s="74" t="s">
        <v>436</v>
      </c>
      <c r="B10" s="31" t="s">
        <v>437</v>
      </c>
      <c r="C10" s="31" t="s">
        <v>2024</v>
      </c>
      <c r="D10" s="14">
        <v>3753750</v>
      </c>
      <c r="E10" s="15">
        <v>29061.53</v>
      </c>
      <c r="F10" s="16">
        <v>4.6899999999999997E-2</v>
      </c>
      <c r="G10" s="75"/>
    </row>
    <row r="11" spans="1:8" x14ac:dyDescent="0.25">
      <c r="A11" s="74" t="s">
        <v>438</v>
      </c>
      <c r="B11" s="31" t="s">
        <v>439</v>
      </c>
      <c r="C11" s="31" t="s">
        <v>440</v>
      </c>
      <c r="D11" s="14">
        <v>652000</v>
      </c>
      <c r="E11" s="15">
        <v>17178.57</v>
      </c>
      <c r="F11" s="16">
        <v>2.7699999999999999E-2</v>
      </c>
      <c r="G11" s="75"/>
    </row>
    <row r="12" spans="1:8" x14ac:dyDescent="0.25">
      <c r="A12" s="74" t="s">
        <v>441</v>
      </c>
      <c r="B12" s="31" t="s">
        <v>442</v>
      </c>
      <c r="C12" s="31" t="s">
        <v>443</v>
      </c>
      <c r="D12" s="14">
        <v>2183100</v>
      </c>
      <c r="E12" s="15">
        <v>16481.310000000001</v>
      </c>
      <c r="F12" s="16">
        <v>2.6599999999999999E-2</v>
      </c>
      <c r="G12" s="75"/>
    </row>
    <row r="13" spans="1:8" x14ac:dyDescent="0.25">
      <c r="A13" s="74" t="s">
        <v>444</v>
      </c>
      <c r="B13" s="31" t="s">
        <v>445</v>
      </c>
      <c r="C13" s="31" t="s">
        <v>462</v>
      </c>
      <c r="D13" s="14">
        <v>4064100</v>
      </c>
      <c r="E13" s="15">
        <v>16392.55</v>
      </c>
      <c r="F13" s="16">
        <v>2.6499999999999999E-2</v>
      </c>
      <c r="G13" s="75"/>
    </row>
    <row r="14" spans="1:8" x14ac:dyDescent="0.25">
      <c r="A14" s="74" t="s">
        <v>446</v>
      </c>
      <c r="B14" s="31" t="s">
        <v>447</v>
      </c>
      <c r="C14" s="31" t="s">
        <v>2026</v>
      </c>
      <c r="D14" s="14">
        <v>788500</v>
      </c>
      <c r="E14" s="15">
        <v>15886.3</v>
      </c>
      <c r="F14" s="16">
        <v>2.5600000000000001E-2</v>
      </c>
      <c r="G14" s="75"/>
    </row>
    <row r="15" spans="1:8" x14ac:dyDescent="0.25">
      <c r="A15" s="74" t="s">
        <v>448</v>
      </c>
      <c r="B15" s="31" t="s">
        <v>449</v>
      </c>
      <c r="C15" s="31" t="s">
        <v>450</v>
      </c>
      <c r="D15" s="14">
        <v>579000</v>
      </c>
      <c r="E15" s="15">
        <v>13840.42</v>
      </c>
      <c r="F15" s="16">
        <v>2.23E-2</v>
      </c>
      <c r="G15" s="75"/>
    </row>
    <row r="16" spans="1:8" x14ac:dyDescent="0.25">
      <c r="A16" s="74" t="s">
        <v>451</v>
      </c>
      <c r="B16" s="31" t="s">
        <v>452</v>
      </c>
      <c r="C16" s="31" t="s">
        <v>453</v>
      </c>
      <c r="D16" s="14">
        <v>3732000</v>
      </c>
      <c r="E16" s="15">
        <v>10761.22</v>
      </c>
      <c r="F16" s="16">
        <v>1.7399999999999999E-2</v>
      </c>
      <c r="G16" s="75"/>
    </row>
    <row r="17" spans="1:7" x14ac:dyDescent="0.25">
      <c r="A17" s="74" t="s">
        <v>454</v>
      </c>
      <c r="B17" s="31" t="s">
        <v>455</v>
      </c>
      <c r="C17" s="31" t="s">
        <v>456</v>
      </c>
      <c r="D17" s="14">
        <v>8626000</v>
      </c>
      <c r="E17" s="15">
        <v>8500.92</v>
      </c>
      <c r="F17" s="16">
        <v>1.37E-2</v>
      </c>
      <c r="G17" s="75"/>
    </row>
    <row r="18" spans="1:7" x14ac:dyDescent="0.25">
      <c r="A18" s="74" t="s">
        <v>457</v>
      </c>
      <c r="B18" s="31" t="s">
        <v>458</v>
      </c>
      <c r="C18" s="31" t="s">
        <v>459</v>
      </c>
      <c r="D18" s="14">
        <v>3388500</v>
      </c>
      <c r="E18" s="15">
        <v>8086.66</v>
      </c>
      <c r="F18" s="16">
        <v>1.2999999999999999E-2</v>
      </c>
      <c r="G18" s="75"/>
    </row>
    <row r="19" spans="1:7" x14ac:dyDescent="0.25">
      <c r="A19" s="74" t="s">
        <v>460</v>
      </c>
      <c r="B19" s="31" t="s">
        <v>461</v>
      </c>
      <c r="C19" s="31" t="s">
        <v>462</v>
      </c>
      <c r="D19" s="14">
        <v>6630000</v>
      </c>
      <c r="E19" s="15">
        <v>8075.34</v>
      </c>
      <c r="F19" s="16">
        <v>1.2999999999999999E-2</v>
      </c>
      <c r="G19" s="75"/>
    </row>
    <row r="20" spans="1:7" x14ac:dyDescent="0.25">
      <c r="A20" s="74" t="s">
        <v>463</v>
      </c>
      <c r="B20" s="31" t="s">
        <v>464</v>
      </c>
      <c r="C20" s="31" t="s">
        <v>465</v>
      </c>
      <c r="D20" s="14">
        <v>444000</v>
      </c>
      <c r="E20" s="15">
        <v>7787.09</v>
      </c>
      <c r="F20" s="16">
        <v>1.26E-2</v>
      </c>
      <c r="G20" s="75"/>
    </row>
    <row r="21" spans="1:7" x14ac:dyDescent="0.25">
      <c r="A21" s="74" t="s">
        <v>466</v>
      </c>
      <c r="B21" s="31" t="s">
        <v>467</v>
      </c>
      <c r="C21" s="31" t="s">
        <v>453</v>
      </c>
      <c r="D21" s="14">
        <v>404151</v>
      </c>
      <c r="E21" s="15">
        <v>7768.99</v>
      </c>
      <c r="F21" s="16">
        <v>1.2500000000000001E-2</v>
      </c>
      <c r="G21" s="75"/>
    </row>
    <row r="22" spans="1:7" x14ac:dyDescent="0.25">
      <c r="A22" s="74" t="s">
        <v>468</v>
      </c>
      <c r="B22" s="31" t="s">
        <v>469</v>
      </c>
      <c r="C22" s="31" t="s">
        <v>465</v>
      </c>
      <c r="D22" s="14">
        <v>828900</v>
      </c>
      <c r="E22" s="15">
        <v>7753.53</v>
      </c>
      <c r="F22" s="16">
        <v>1.2500000000000001E-2</v>
      </c>
      <c r="G22" s="75"/>
    </row>
    <row r="23" spans="1:7" x14ac:dyDescent="0.25">
      <c r="A23" s="74" t="s">
        <v>470</v>
      </c>
      <c r="B23" s="31" t="s">
        <v>471</v>
      </c>
      <c r="C23" s="31" t="s">
        <v>456</v>
      </c>
      <c r="D23" s="14">
        <v>536350</v>
      </c>
      <c r="E23" s="15">
        <v>7011.17</v>
      </c>
      <c r="F23" s="16">
        <v>1.1299999999999999E-2</v>
      </c>
      <c r="G23" s="75"/>
    </row>
    <row r="24" spans="1:7" x14ac:dyDescent="0.25">
      <c r="A24" s="74" t="s">
        <v>472</v>
      </c>
      <c r="B24" s="31" t="s">
        <v>473</v>
      </c>
      <c r="C24" s="31" t="s">
        <v>2027</v>
      </c>
      <c r="D24" s="14">
        <v>343500</v>
      </c>
      <c r="E24" s="15">
        <v>6550.03</v>
      </c>
      <c r="F24" s="16">
        <v>1.06E-2</v>
      </c>
      <c r="G24" s="75"/>
    </row>
    <row r="25" spans="1:7" x14ac:dyDescent="0.25">
      <c r="A25" s="74" t="s">
        <v>474</v>
      </c>
      <c r="B25" s="31" t="s">
        <v>475</v>
      </c>
      <c r="C25" s="31" t="s">
        <v>465</v>
      </c>
      <c r="D25" s="14">
        <v>2064600</v>
      </c>
      <c r="E25" s="15">
        <v>6346.58</v>
      </c>
      <c r="F25" s="16">
        <v>1.0200000000000001E-2</v>
      </c>
      <c r="G25" s="75"/>
    </row>
    <row r="26" spans="1:7" x14ac:dyDescent="0.25">
      <c r="A26" s="74" t="s">
        <v>476</v>
      </c>
      <c r="B26" s="31" t="s">
        <v>477</v>
      </c>
      <c r="C26" s="31" t="s">
        <v>2027</v>
      </c>
      <c r="D26" s="14">
        <v>141600</v>
      </c>
      <c r="E26" s="15">
        <v>6092.91</v>
      </c>
      <c r="F26" s="16">
        <v>9.7999999999999997E-3</v>
      </c>
      <c r="G26" s="75"/>
    </row>
    <row r="27" spans="1:7" x14ac:dyDescent="0.25">
      <c r="A27" s="74" t="s">
        <v>478</v>
      </c>
      <c r="B27" s="31" t="s">
        <v>479</v>
      </c>
      <c r="C27" s="31" t="s">
        <v>480</v>
      </c>
      <c r="D27" s="14">
        <v>359575</v>
      </c>
      <c r="E27" s="15">
        <v>5983.33</v>
      </c>
      <c r="F27" s="16">
        <v>9.7000000000000003E-3</v>
      </c>
      <c r="G27" s="75"/>
    </row>
    <row r="28" spans="1:7" x14ac:dyDescent="0.25">
      <c r="A28" s="74" t="s">
        <v>481</v>
      </c>
      <c r="B28" s="31" t="s">
        <v>482</v>
      </c>
      <c r="C28" s="31" t="s">
        <v>465</v>
      </c>
      <c r="D28" s="14">
        <v>763200</v>
      </c>
      <c r="E28" s="15">
        <v>5809.1</v>
      </c>
      <c r="F28" s="16">
        <v>9.4000000000000004E-3</v>
      </c>
      <c r="G28" s="75"/>
    </row>
    <row r="29" spans="1:7" x14ac:dyDescent="0.25">
      <c r="A29" s="74" t="s">
        <v>483</v>
      </c>
      <c r="B29" s="31" t="s">
        <v>484</v>
      </c>
      <c r="C29" s="31" t="s">
        <v>2028</v>
      </c>
      <c r="D29" s="14">
        <v>271500</v>
      </c>
      <c r="E29" s="15">
        <v>5562.08</v>
      </c>
      <c r="F29" s="16">
        <v>8.9999999999999993E-3</v>
      </c>
      <c r="G29" s="75"/>
    </row>
    <row r="30" spans="1:7" x14ac:dyDescent="0.25">
      <c r="A30" s="74" t="s">
        <v>485</v>
      </c>
      <c r="B30" s="31" t="s">
        <v>486</v>
      </c>
      <c r="C30" s="31" t="s">
        <v>487</v>
      </c>
      <c r="D30" s="14">
        <v>996600</v>
      </c>
      <c r="E30" s="15">
        <v>5363.7</v>
      </c>
      <c r="F30" s="16">
        <v>8.6999999999999994E-3</v>
      </c>
      <c r="G30" s="75"/>
    </row>
    <row r="31" spans="1:7" x14ac:dyDescent="0.25">
      <c r="A31" s="74" t="s">
        <v>488</v>
      </c>
      <c r="B31" s="31" t="s">
        <v>489</v>
      </c>
      <c r="C31" s="31" t="s">
        <v>2027</v>
      </c>
      <c r="D31" s="14">
        <v>119300</v>
      </c>
      <c r="E31" s="15">
        <v>5317.8</v>
      </c>
      <c r="F31" s="16">
        <v>8.6E-3</v>
      </c>
      <c r="G31" s="75"/>
    </row>
    <row r="32" spans="1:7" x14ac:dyDescent="0.25">
      <c r="A32" s="74" t="s">
        <v>490</v>
      </c>
      <c r="B32" s="31" t="s">
        <v>491</v>
      </c>
      <c r="C32" s="31" t="s">
        <v>450</v>
      </c>
      <c r="D32" s="14">
        <v>72750</v>
      </c>
      <c r="E32" s="15">
        <v>5281.61</v>
      </c>
      <c r="F32" s="16">
        <v>8.5000000000000006E-3</v>
      </c>
      <c r="G32" s="75"/>
    </row>
    <row r="33" spans="1:7" x14ac:dyDescent="0.25">
      <c r="A33" s="74" t="s">
        <v>492</v>
      </c>
      <c r="B33" s="31" t="s">
        <v>493</v>
      </c>
      <c r="C33" s="31" t="s">
        <v>2029</v>
      </c>
      <c r="D33" s="14">
        <v>281175</v>
      </c>
      <c r="E33" s="15">
        <v>4970.1899999999996</v>
      </c>
      <c r="F33" s="16">
        <v>8.0000000000000002E-3</v>
      </c>
      <c r="G33" s="75"/>
    </row>
    <row r="34" spans="1:7" x14ac:dyDescent="0.25">
      <c r="A34" s="74" t="s">
        <v>495</v>
      </c>
      <c r="B34" s="31" t="s">
        <v>496</v>
      </c>
      <c r="C34" s="31" t="s">
        <v>450</v>
      </c>
      <c r="D34" s="14">
        <v>7950000</v>
      </c>
      <c r="E34" s="15">
        <v>4909.13</v>
      </c>
      <c r="F34" s="16">
        <v>7.9000000000000008E-3</v>
      </c>
      <c r="G34" s="75"/>
    </row>
    <row r="35" spans="1:7" x14ac:dyDescent="0.25">
      <c r="A35" s="74" t="s">
        <v>497</v>
      </c>
      <c r="B35" s="31" t="s">
        <v>498</v>
      </c>
      <c r="C35" s="31" t="s">
        <v>450</v>
      </c>
      <c r="D35" s="14">
        <v>220000</v>
      </c>
      <c r="E35" s="15">
        <v>4811.18</v>
      </c>
      <c r="F35" s="16">
        <v>7.7999999999999996E-3</v>
      </c>
      <c r="G35" s="75"/>
    </row>
    <row r="36" spans="1:7" x14ac:dyDescent="0.25">
      <c r="A36" s="74" t="s">
        <v>499</v>
      </c>
      <c r="B36" s="31" t="s">
        <v>500</v>
      </c>
      <c r="C36" s="31" t="s">
        <v>501</v>
      </c>
      <c r="D36" s="14">
        <v>320150</v>
      </c>
      <c r="E36" s="15">
        <v>4753.91</v>
      </c>
      <c r="F36" s="16">
        <v>7.7000000000000002E-3</v>
      </c>
      <c r="G36" s="75"/>
    </row>
    <row r="37" spans="1:7" x14ac:dyDescent="0.25">
      <c r="A37" s="74" t="s">
        <v>502</v>
      </c>
      <c r="B37" s="31" t="s">
        <v>503</v>
      </c>
      <c r="C37" s="31" t="s">
        <v>2025</v>
      </c>
      <c r="D37" s="14">
        <v>3328500</v>
      </c>
      <c r="E37" s="15">
        <v>4641.59</v>
      </c>
      <c r="F37" s="16">
        <v>7.4999999999999997E-3</v>
      </c>
      <c r="G37" s="75"/>
    </row>
    <row r="38" spans="1:7" x14ac:dyDescent="0.25">
      <c r="A38" s="74" t="s">
        <v>504</v>
      </c>
      <c r="B38" s="31" t="s">
        <v>505</v>
      </c>
      <c r="C38" s="31" t="s">
        <v>2028</v>
      </c>
      <c r="D38" s="14">
        <v>1808000</v>
      </c>
      <c r="E38" s="15">
        <v>4531.75</v>
      </c>
      <c r="F38" s="16">
        <v>7.3000000000000001E-3</v>
      </c>
      <c r="G38" s="75"/>
    </row>
    <row r="39" spans="1:7" x14ac:dyDescent="0.25">
      <c r="A39" s="74" t="s">
        <v>506</v>
      </c>
      <c r="B39" s="31" t="s">
        <v>507</v>
      </c>
      <c r="C39" s="31" t="s">
        <v>465</v>
      </c>
      <c r="D39" s="14">
        <v>12928000</v>
      </c>
      <c r="E39" s="15">
        <v>4531.26</v>
      </c>
      <c r="F39" s="16">
        <v>7.3000000000000001E-3</v>
      </c>
      <c r="G39" s="75"/>
    </row>
    <row r="40" spans="1:7" x14ac:dyDescent="0.25">
      <c r="A40" s="74" t="s">
        <v>508</v>
      </c>
      <c r="B40" s="31" t="s">
        <v>509</v>
      </c>
      <c r="C40" s="31" t="s">
        <v>462</v>
      </c>
      <c r="D40" s="14">
        <v>760025</v>
      </c>
      <c r="E40" s="15">
        <v>4328.34</v>
      </c>
      <c r="F40" s="16">
        <v>7.0000000000000001E-3</v>
      </c>
      <c r="G40" s="75"/>
    </row>
    <row r="41" spans="1:7" x14ac:dyDescent="0.25">
      <c r="A41" s="74" t="s">
        <v>510</v>
      </c>
      <c r="B41" s="31" t="s">
        <v>511</v>
      </c>
      <c r="C41" s="31" t="s">
        <v>2027</v>
      </c>
      <c r="D41" s="14">
        <v>365400</v>
      </c>
      <c r="E41" s="15">
        <v>4252.34</v>
      </c>
      <c r="F41" s="16">
        <v>6.8999999999999999E-3</v>
      </c>
      <c r="G41" s="75"/>
    </row>
    <row r="42" spans="1:7" x14ac:dyDescent="0.25">
      <c r="A42" s="74" t="s">
        <v>512</v>
      </c>
      <c r="B42" s="31" t="s">
        <v>513</v>
      </c>
      <c r="C42" s="31" t="s">
        <v>514</v>
      </c>
      <c r="D42" s="14">
        <v>289800</v>
      </c>
      <c r="E42" s="15">
        <v>4101.97</v>
      </c>
      <c r="F42" s="16">
        <v>6.6E-3</v>
      </c>
      <c r="G42" s="75"/>
    </row>
    <row r="43" spans="1:7" x14ac:dyDescent="0.25">
      <c r="A43" s="74" t="s">
        <v>515</v>
      </c>
      <c r="B43" s="31" t="s">
        <v>516</v>
      </c>
      <c r="C43" s="31" t="s">
        <v>453</v>
      </c>
      <c r="D43" s="14">
        <v>834000</v>
      </c>
      <c r="E43" s="15">
        <v>4085.35</v>
      </c>
      <c r="F43" s="16">
        <v>6.6E-3</v>
      </c>
      <c r="G43" s="75"/>
    </row>
    <row r="44" spans="1:7" x14ac:dyDescent="0.25">
      <c r="A44" s="74" t="s">
        <v>517</v>
      </c>
      <c r="B44" s="31" t="s">
        <v>518</v>
      </c>
      <c r="C44" s="31" t="s">
        <v>465</v>
      </c>
      <c r="D44" s="14">
        <v>3010200</v>
      </c>
      <c r="E44" s="15">
        <v>3919.28</v>
      </c>
      <c r="F44" s="16">
        <v>6.3E-3</v>
      </c>
      <c r="G44" s="75"/>
    </row>
    <row r="45" spans="1:7" x14ac:dyDescent="0.25">
      <c r="A45" s="74" t="s">
        <v>519</v>
      </c>
      <c r="B45" s="31" t="s">
        <v>520</v>
      </c>
      <c r="C45" s="31" t="s">
        <v>450</v>
      </c>
      <c r="D45" s="14">
        <v>3360400</v>
      </c>
      <c r="E45" s="15">
        <v>3783.81</v>
      </c>
      <c r="F45" s="16">
        <v>6.1000000000000004E-3</v>
      </c>
      <c r="G45" s="75"/>
    </row>
    <row r="46" spans="1:7" x14ac:dyDescent="0.25">
      <c r="A46" s="74" t="s">
        <v>521</v>
      </c>
      <c r="B46" s="31" t="s">
        <v>522</v>
      </c>
      <c r="C46" s="31" t="s">
        <v>443</v>
      </c>
      <c r="D46" s="14">
        <v>301600</v>
      </c>
      <c r="E46" s="15">
        <v>3705.46</v>
      </c>
      <c r="F46" s="16">
        <v>6.0000000000000001E-3</v>
      </c>
      <c r="G46" s="75"/>
    </row>
    <row r="47" spans="1:7" x14ac:dyDescent="0.25">
      <c r="A47" s="74" t="s">
        <v>523</v>
      </c>
      <c r="B47" s="31" t="s">
        <v>524</v>
      </c>
      <c r="C47" s="31" t="s">
        <v>443</v>
      </c>
      <c r="D47" s="14">
        <v>37030000</v>
      </c>
      <c r="E47" s="15">
        <v>3573.4</v>
      </c>
      <c r="F47" s="16">
        <v>5.7999999999999996E-3</v>
      </c>
      <c r="G47" s="75"/>
    </row>
    <row r="48" spans="1:7" x14ac:dyDescent="0.25">
      <c r="A48" s="74" t="s">
        <v>525</v>
      </c>
      <c r="B48" s="31" t="s">
        <v>526</v>
      </c>
      <c r="C48" s="31" t="s">
        <v>494</v>
      </c>
      <c r="D48" s="14">
        <v>213200</v>
      </c>
      <c r="E48" s="15">
        <v>3565.13</v>
      </c>
      <c r="F48" s="16">
        <v>5.7999999999999996E-3</v>
      </c>
      <c r="G48" s="75"/>
    </row>
    <row r="49" spans="1:7" x14ac:dyDescent="0.25">
      <c r="A49" s="74" t="s">
        <v>527</v>
      </c>
      <c r="B49" s="31" t="s">
        <v>528</v>
      </c>
      <c r="C49" s="31" t="s">
        <v>2030</v>
      </c>
      <c r="D49" s="14">
        <v>129750</v>
      </c>
      <c r="E49" s="15">
        <v>3476.46</v>
      </c>
      <c r="F49" s="16">
        <v>5.5999999999999999E-3</v>
      </c>
      <c r="G49" s="75"/>
    </row>
    <row r="50" spans="1:7" x14ac:dyDescent="0.25">
      <c r="A50" s="74" t="s">
        <v>529</v>
      </c>
      <c r="B50" s="31" t="s">
        <v>530</v>
      </c>
      <c r="C50" s="31" t="s">
        <v>2031</v>
      </c>
      <c r="D50" s="14">
        <v>119500</v>
      </c>
      <c r="E50" s="15">
        <v>3369.48</v>
      </c>
      <c r="F50" s="16">
        <v>5.4000000000000003E-3</v>
      </c>
      <c r="G50" s="75"/>
    </row>
    <row r="51" spans="1:7" x14ac:dyDescent="0.25">
      <c r="A51" s="74" t="s">
        <v>531</v>
      </c>
      <c r="B51" s="31" t="s">
        <v>532</v>
      </c>
      <c r="C51" s="31" t="s">
        <v>450</v>
      </c>
      <c r="D51" s="14">
        <v>918000</v>
      </c>
      <c r="E51" s="15">
        <v>3295.16</v>
      </c>
      <c r="F51" s="16">
        <v>5.3E-3</v>
      </c>
      <c r="G51" s="75"/>
    </row>
    <row r="52" spans="1:7" x14ac:dyDescent="0.25">
      <c r="A52" s="74" t="s">
        <v>533</v>
      </c>
      <c r="B52" s="31" t="s">
        <v>534</v>
      </c>
      <c r="C52" s="31" t="s">
        <v>514</v>
      </c>
      <c r="D52" s="14">
        <v>1458750</v>
      </c>
      <c r="E52" s="15">
        <v>3277.81</v>
      </c>
      <c r="F52" s="16">
        <v>5.3E-3</v>
      </c>
      <c r="G52" s="75"/>
    </row>
    <row r="53" spans="1:7" x14ac:dyDescent="0.25">
      <c r="A53" s="74" t="s">
        <v>535</v>
      </c>
      <c r="B53" s="31" t="s">
        <v>536</v>
      </c>
      <c r="C53" s="31" t="s">
        <v>2028</v>
      </c>
      <c r="D53" s="14">
        <v>367500</v>
      </c>
      <c r="E53" s="15">
        <v>3264.69</v>
      </c>
      <c r="F53" s="16">
        <v>5.3E-3</v>
      </c>
      <c r="G53" s="75"/>
    </row>
    <row r="54" spans="1:7" x14ac:dyDescent="0.25">
      <c r="A54" s="74" t="s">
        <v>537</v>
      </c>
      <c r="B54" s="31" t="s">
        <v>538</v>
      </c>
      <c r="C54" s="31" t="s">
        <v>465</v>
      </c>
      <c r="D54" s="14">
        <v>648000</v>
      </c>
      <c r="E54" s="15">
        <v>3198.2</v>
      </c>
      <c r="F54" s="16">
        <v>5.1999999999999998E-3</v>
      </c>
      <c r="G54" s="75"/>
    </row>
    <row r="55" spans="1:7" x14ac:dyDescent="0.25">
      <c r="A55" s="74" t="s">
        <v>539</v>
      </c>
      <c r="B55" s="31" t="s">
        <v>540</v>
      </c>
      <c r="C55" s="31" t="s">
        <v>494</v>
      </c>
      <c r="D55" s="14">
        <v>836550</v>
      </c>
      <c r="E55" s="15">
        <v>3182.65</v>
      </c>
      <c r="F55" s="16">
        <v>5.1000000000000004E-3</v>
      </c>
      <c r="G55" s="75"/>
    </row>
    <row r="56" spans="1:7" x14ac:dyDescent="0.25">
      <c r="A56" s="74" t="s">
        <v>541</v>
      </c>
      <c r="B56" s="31" t="s">
        <v>542</v>
      </c>
      <c r="C56" s="31" t="s">
        <v>501</v>
      </c>
      <c r="D56" s="14">
        <v>1352800</v>
      </c>
      <c r="E56" s="15">
        <v>2851.7</v>
      </c>
      <c r="F56" s="16">
        <v>4.5999999999999999E-3</v>
      </c>
      <c r="G56" s="75"/>
    </row>
    <row r="57" spans="1:7" x14ac:dyDescent="0.25">
      <c r="A57" s="74" t="s">
        <v>543</v>
      </c>
      <c r="B57" s="31" t="s">
        <v>544</v>
      </c>
      <c r="C57" s="31" t="s">
        <v>2026</v>
      </c>
      <c r="D57" s="14">
        <v>1608000</v>
      </c>
      <c r="E57" s="15">
        <v>2613.8000000000002</v>
      </c>
      <c r="F57" s="16">
        <v>4.1999999999999997E-3</v>
      </c>
      <c r="G57" s="75"/>
    </row>
    <row r="58" spans="1:7" x14ac:dyDescent="0.25">
      <c r="A58" s="74" t="s">
        <v>545</v>
      </c>
      <c r="B58" s="31" t="s">
        <v>546</v>
      </c>
      <c r="C58" s="31" t="s">
        <v>480</v>
      </c>
      <c r="D58" s="14">
        <v>862500</v>
      </c>
      <c r="E58" s="15">
        <v>2581.0300000000002</v>
      </c>
      <c r="F58" s="16">
        <v>4.1999999999999997E-3</v>
      </c>
      <c r="G58" s="75"/>
    </row>
    <row r="59" spans="1:7" x14ac:dyDescent="0.25">
      <c r="A59" s="74" t="s">
        <v>547</v>
      </c>
      <c r="B59" s="31" t="s">
        <v>548</v>
      </c>
      <c r="C59" s="31" t="s">
        <v>487</v>
      </c>
      <c r="D59" s="14">
        <v>508500</v>
      </c>
      <c r="E59" s="15">
        <v>2547.08</v>
      </c>
      <c r="F59" s="16">
        <v>4.1000000000000003E-3</v>
      </c>
      <c r="G59" s="75"/>
    </row>
    <row r="60" spans="1:7" x14ac:dyDescent="0.25">
      <c r="A60" s="74" t="s">
        <v>549</v>
      </c>
      <c r="B60" s="31" t="s">
        <v>550</v>
      </c>
      <c r="C60" s="31" t="s">
        <v>465</v>
      </c>
      <c r="D60" s="14">
        <v>170500</v>
      </c>
      <c r="E60" s="15">
        <v>2506.9499999999998</v>
      </c>
      <c r="F60" s="16">
        <v>4.0000000000000001E-3</v>
      </c>
      <c r="G60" s="75"/>
    </row>
    <row r="61" spans="1:7" x14ac:dyDescent="0.25">
      <c r="A61" s="74" t="s">
        <v>551</v>
      </c>
      <c r="B61" s="31" t="s">
        <v>552</v>
      </c>
      <c r="C61" s="31" t="s">
        <v>450</v>
      </c>
      <c r="D61" s="14">
        <v>186375</v>
      </c>
      <c r="E61" s="15">
        <v>2480.56</v>
      </c>
      <c r="F61" s="16">
        <v>4.0000000000000001E-3</v>
      </c>
      <c r="G61" s="75"/>
    </row>
    <row r="62" spans="1:7" x14ac:dyDescent="0.25">
      <c r="A62" s="74" t="s">
        <v>553</v>
      </c>
      <c r="B62" s="31" t="s">
        <v>554</v>
      </c>
      <c r="C62" s="31" t="s">
        <v>1429</v>
      </c>
      <c r="D62" s="14">
        <v>232700</v>
      </c>
      <c r="E62" s="15">
        <v>2369</v>
      </c>
      <c r="F62" s="16">
        <v>3.8E-3</v>
      </c>
      <c r="G62" s="75"/>
    </row>
    <row r="63" spans="1:7" x14ac:dyDescent="0.25">
      <c r="A63" s="74" t="s">
        <v>556</v>
      </c>
      <c r="B63" s="31" t="s">
        <v>557</v>
      </c>
      <c r="C63" s="31" t="s">
        <v>558</v>
      </c>
      <c r="D63" s="14">
        <v>333750</v>
      </c>
      <c r="E63" s="15">
        <v>2338.25</v>
      </c>
      <c r="F63" s="16">
        <v>3.8E-3</v>
      </c>
      <c r="G63" s="75"/>
    </row>
    <row r="64" spans="1:7" x14ac:dyDescent="0.25">
      <c r="A64" s="74" t="s">
        <v>559</v>
      </c>
      <c r="B64" s="31" t="s">
        <v>560</v>
      </c>
      <c r="C64" s="31" t="s">
        <v>2028</v>
      </c>
      <c r="D64" s="14">
        <v>446400</v>
      </c>
      <c r="E64" s="15">
        <v>2184.6799999999998</v>
      </c>
      <c r="F64" s="16">
        <v>3.5000000000000001E-3</v>
      </c>
      <c r="G64" s="75"/>
    </row>
    <row r="65" spans="1:7" x14ac:dyDescent="0.25">
      <c r="A65" s="74" t="s">
        <v>561</v>
      </c>
      <c r="B65" s="31" t="s">
        <v>562</v>
      </c>
      <c r="C65" s="31" t="s">
        <v>487</v>
      </c>
      <c r="D65" s="14">
        <v>179250</v>
      </c>
      <c r="E65" s="15">
        <v>2010.2</v>
      </c>
      <c r="F65" s="16">
        <v>3.2000000000000002E-3</v>
      </c>
      <c r="G65" s="75"/>
    </row>
    <row r="66" spans="1:7" x14ac:dyDescent="0.25">
      <c r="A66" s="74" t="s">
        <v>563</v>
      </c>
      <c r="B66" s="31" t="s">
        <v>564</v>
      </c>
      <c r="C66" s="31" t="s">
        <v>2028</v>
      </c>
      <c r="D66" s="14">
        <v>11450</v>
      </c>
      <c r="E66" s="15">
        <v>1990.07</v>
      </c>
      <c r="F66" s="16">
        <v>3.2000000000000002E-3</v>
      </c>
      <c r="G66" s="75"/>
    </row>
    <row r="67" spans="1:7" x14ac:dyDescent="0.25">
      <c r="A67" s="74" t="s">
        <v>565</v>
      </c>
      <c r="B67" s="31" t="s">
        <v>566</v>
      </c>
      <c r="C67" s="31" t="s">
        <v>2028</v>
      </c>
      <c r="D67" s="14">
        <v>265500</v>
      </c>
      <c r="E67" s="15">
        <v>1984.08</v>
      </c>
      <c r="F67" s="16">
        <v>3.2000000000000002E-3</v>
      </c>
      <c r="G67" s="75"/>
    </row>
    <row r="68" spans="1:7" x14ac:dyDescent="0.25">
      <c r="A68" s="74" t="s">
        <v>567</v>
      </c>
      <c r="B68" s="31" t="s">
        <v>568</v>
      </c>
      <c r="C68" s="31" t="s">
        <v>2030</v>
      </c>
      <c r="D68" s="14">
        <v>88250</v>
      </c>
      <c r="E68" s="15">
        <v>1980.11</v>
      </c>
      <c r="F68" s="16">
        <v>3.2000000000000002E-3</v>
      </c>
      <c r="G68" s="75"/>
    </row>
    <row r="69" spans="1:7" x14ac:dyDescent="0.25">
      <c r="A69" s="74" t="s">
        <v>569</v>
      </c>
      <c r="B69" s="31" t="s">
        <v>570</v>
      </c>
      <c r="C69" s="31" t="s">
        <v>2025</v>
      </c>
      <c r="D69" s="14">
        <v>1216800</v>
      </c>
      <c r="E69" s="15">
        <v>1838.58</v>
      </c>
      <c r="F69" s="16">
        <v>3.0000000000000001E-3</v>
      </c>
      <c r="G69" s="75"/>
    </row>
    <row r="70" spans="1:7" x14ac:dyDescent="0.25">
      <c r="A70" s="74" t="s">
        <v>571</v>
      </c>
      <c r="B70" s="31" t="s">
        <v>572</v>
      </c>
      <c r="C70" s="31" t="s">
        <v>573</v>
      </c>
      <c r="D70" s="14">
        <v>88800</v>
      </c>
      <c r="E70" s="15">
        <v>1807.75</v>
      </c>
      <c r="F70" s="16">
        <v>2.8999999999999998E-3</v>
      </c>
      <c r="G70" s="75"/>
    </row>
    <row r="71" spans="1:7" x14ac:dyDescent="0.25">
      <c r="A71" s="74" t="s">
        <v>574</v>
      </c>
      <c r="B71" s="31" t="s">
        <v>575</v>
      </c>
      <c r="C71" s="31" t="s">
        <v>1429</v>
      </c>
      <c r="D71" s="14">
        <v>239700</v>
      </c>
      <c r="E71" s="15">
        <v>1790.68</v>
      </c>
      <c r="F71" s="16">
        <v>2.8999999999999998E-3</v>
      </c>
      <c r="G71" s="75"/>
    </row>
    <row r="72" spans="1:7" x14ac:dyDescent="0.25">
      <c r="A72" s="74" t="s">
        <v>576</v>
      </c>
      <c r="B72" s="31" t="s">
        <v>577</v>
      </c>
      <c r="C72" s="31" t="s">
        <v>456</v>
      </c>
      <c r="D72" s="14">
        <v>335000</v>
      </c>
      <c r="E72" s="15">
        <v>1785.05</v>
      </c>
      <c r="F72" s="16">
        <v>2.8999999999999998E-3</v>
      </c>
      <c r="G72" s="75"/>
    </row>
    <row r="73" spans="1:7" x14ac:dyDescent="0.25">
      <c r="A73" s="74" t="s">
        <v>578</v>
      </c>
      <c r="B73" s="31" t="s">
        <v>579</v>
      </c>
      <c r="C73" s="31" t="s">
        <v>2027</v>
      </c>
      <c r="D73" s="14">
        <v>1427400</v>
      </c>
      <c r="E73" s="15">
        <v>1784.96</v>
      </c>
      <c r="F73" s="16">
        <v>2.8999999999999998E-3</v>
      </c>
      <c r="G73" s="75"/>
    </row>
    <row r="74" spans="1:7" x14ac:dyDescent="0.25">
      <c r="A74" s="74" t="s">
        <v>580</v>
      </c>
      <c r="B74" s="31" t="s">
        <v>581</v>
      </c>
      <c r="C74" s="31" t="s">
        <v>2024</v>
      </c>
      <c r="D74" s="14">
        <v>88500</v>
      </c>
      <c r="E74" s="15">
        <v>1782.52</v>
      </c>
      <c r="F74" s="16">
        <v>2.8999999999999998E-3</v>
      </c>
      <c r="G74" s="75"/>
    </row>
    <row r="75" spans="1:7" x14ac:dyDescent="0.25">
      <c r="A75" s="74" t="s">
        <v>582</v>
      </c>
      <c r="B75" s="31" t="s">
        <v>583</v>
      </c>
      <c r="C75" s="31" t="s">
        <v>2032</v>
      </c>
      <c r="D75" s="14">
        <v>23500</v>
      </c>
      <c r="E75" s="15">
        <v>1776.91</v>
      </c>
      <c r="F75" s="16">
        <v>2.8999999999999998E-3</v>
      </c>
      <c r="G75" s="75"/>
    </row>
    <row r="76" spans="1:7" x14ac:dyDescent="0.25">
      <c r="A76" s="74" t="s">
        <v>584</v>
      </c>
      <c r="B76" s="31" t="s">
        <v>585</v>
      </c>
      <c r="C76" s="31" t="s">
        <v>2027</v>
      </c>
      <c r="D76" s="14">
        <v>46800</v>
      </c>
      <c r="E76" s="15">
        <v>1750.3</v>
      </c>
      <c r="F76" s="16">
        <v>2.8E-3</v>
      </c>
      <c r="G76" s="75"/>
    </row>
    <row r="77" spans="1:7" x14ac:dyDescent="0.25">
      <c r="A77" s="74" t="s">
        <v>586</v>
      </c>
      <c r="B77" s="31" t="s">
        <v>587</v>
      </c>
      <c r="C77" s="31" t="s">
        <v>2031</v>
      </c>
      <c r="D77" s="14">
        <v>214500</v>
      </c>
      <c r="E77" s="15">
        <v>1650.79</v>
      </c>
      <c r="F77" s="16">
        <v>2.7000000000000001E-3</v>
      </c>
      <c r="G77" s="75"/>
    </row>
    <row r="78" spans="1:7" x14ac:dyDescent="0.25">
      <c r="A78" s="74" t="s">
        <v>588</v>
      </c>
      <c r="B78" s="31" t="s">
        <v>589</v>
      </c>
      <c r="C78" s="31" t="s">
        <v>1429</v>
      </c>
      <c r="D78" s="14">
        <v>476100</v>
      </c>
      <c r="E78" s="15">
        <v>1597.79</v>
      </c>
      <c r="F78" s="16">
        <v>2.5999999999999999E-3</v>
      </c>
      <c r="G78" s="75"/>
    </row>
    <row r="79" spans="1:7" x14ac:dyDescent="0.25">
      <c r="A79" s="74" t="s">
        <v>590</v>
      </c>
      <c r="B79" s="31" t="s">
        <v>591</v>
      </c>
      <c r="C79" s="31" t="s">
        <v>2032</v>
      </c>
      <c r="D79" s="14">
        <v>69600</v>
      </c>
      <c r="E79" s="15">
        <v>1596.73</v>
      </c>
      <c r="F79" s="16">
        <v>2.5999999999999999E-3</v>
      </c>
      <c r="G79" s="75"/>
    </row>
    <row r="80" spans="1:7" x14ac:dyDescent="0.25">
      <c r="A80" s="74" t="s">
        <v>592</v>
      </c>
      <c r="B80" s="31" t="s">
        <v>593</v>
      </c>
      <c r="C80" s="31" t="s">
        <v>450</v>
      </c>
      <c r="D80" s="14">
        <v>1368000</v>
      </c>
      <c r="E80" s="15">
        <v>1553.36</v>
      </c>
      <c r="F80" s="16">
        <v>2.5000000000000001E-3</v>
      </c>
      <c r="G80" s="75"/>
    </row>
    <row r="81" spans="1:7" x14ac:dyDescent="0.25">
      <c r="A81" s="74" t="s">
        <v>594</v>
      </c>
      <c r="B81" s="31" t="s">
        <v>595</v>
      </c>
      <c r="C81" s="31" t="s">
        <v>450</v>
      </c>
      <c r="D81" s="14">
        <v>976000</v>
      </c>
      <c r="E81" s="15">
        <v>1553.3</v>
      </c>
      <c r="F81" s="16">
        <v>2.5000000000000001E-3</v>
      </c>
      <c r="G81" s="75"/>
    </row>
    <row r="82" spans="1:7" x14ac:dyDescent="0.25">
      <c r="A82" s="74" t="s">
        <v>596</v>
      </c>
      <c r="B82" s="31" t="s">
        <v>597</v>
      </c>
      <c r="C82" s="31" t="s">
        <v>573</v>
      </c>
      <c r="D82" s="14">
        <v>33625</v>
      </c>
      <c r="E82" s="15">
        <v>1518.54</v>
      </c>
      <c r="F82" s="16">
        <v>2.5000000000000001E-3</v>
      </c>
      <c r="G82" s="75"/>
    </row>
    <row r="83" spans="1:7" x14ac:dyDescent="0.25">
      <c r="A83" s="74" t="s">
        <v>598</v>
      </c>
      <c r="B83" s="31" t="s">
        <v>599</v>
      </c>
      <c r="C83" s="31" t="s">
        <v>480</v>
      </c>
      <c r="D83" s="14">
        <v>196350</v>
      </c>
      <c r="E83" s="15">
        <v>1508.07</v>
      </c>
      <c r="F83" s="16">
        <v>2.3999999999999998E-3</v>
      </c>
      <c r="G83" s="75"/>
    </row>
    <row r="84" spans="1:7" x14ac:dyDescent="0.25">
      <c r="A84" s="74" t="s">
        <v>600</v>
      </c>
      <c r="B84" s="31" t="s">
        <v>601</v>
      </c>
      <c r="C84" s="31" t="s">
        <v>480</v>
      </c>
      <c r="D84" s="14">
        <v>6225</v>
      </c>
      <c r="E84" s="15">
        <v>1496.03</v>
      </c>
      <c r="F84" s="16">
        <v>2.3999999999999998E-3</v>
      </c>
      <c r="G84" s="75"/>
    </row>
    <row r="85" spans="1:7" x14ac:dyDescent="0.25">
      <c r="A85" s="74" t="s">
        <v>602</v>
      </c>
      <c r="B85" s="31" t="s">
        <v>603</v>
      </c>
      <c r="C85" s="31" t="s">
        <v>443</v>
      </c>
      <c r="D85" s="14">
        <v>672000</v>
      </c>
      <c r="E85" s="15">
        <v>1492.18</v>
      </c>
      <c r="F85" s="16">
        <v>2.3999999999999998E-3</v>
      </c>
      <c r="G85" s="75"/>
    </row>
    <row r="86" spans="1:7" x14ac:dyDescent="0.25">
      <c r="A86" s="74" t="s">
        <v>604</v>
      </c>
      <c r="B86" s="31" t="s">
        <v>605</v>
      </c>
      <c r="C86" s="31" t="s">
        <v>1429</v>
      </c>
      <c r="D86" s="14">
        <v>422400</v>
      </c>
      <c r="E86" s="15">
        <v>1472.06</v>
      </c>
      <c r="F86" s="16">
        <v>2.3999999999999998E-3</v>
      </c>
      <c r="G86" s="75"/>
    </row>
    <row r="87" spans="1:7" x14ac:dyDescent="0.25">
      <c r="A87" s="74" t="s">
        <v>606</v>
      </c>
      <c r="B87" s="31" t="s">
        <v>607</v>
      </c>
      <c r="C87" s="31" t="s">
        <v>608</v>
      </c>
      <c r="D87" s="14">
        <v>441600</v>
      </c>
      <c r="E87" s="15">
        <v>1457.5</v>
      </c>
      <c r="F87" s="16">
        <v>2.3999999999999998E-3</v>
      </c>
      <c r="G87" s="75"/>
    </row>
    <row r="88" spans="1:7" x14ac:dyDescent="0.25">
      <c r="A88" s="74" t="s">
        <v>609</v>
      </c>
      <c r="B88" s="31" t="s">
        <v>610</v>
      </c>
      <c r="C88" s="31" t="s">
        <v>2025</v>
      </c>
      <c r="D88" s="14">
        <v>760000</v>
      </c>
      <c r="E88" s="15">
        <v>1451.6</v>
      </c>
      <c r="F88" s="16">
        <v>2.3E-3</v>
      </c>
      <c r="G88" s="75"/>
    </row>
    <row r="89" spans="1:7" x14ac:dyDescent="0.25">
      <c r="A89" s="74" t="s">
        <v>611</v>
      </c>
      <c r="B89" s="31" t="s">
        <v>612</v>
      </c>
      <c r="C89" s="31" t="s">
        <v>465</v>
      </c>
      <c r="D89" s="14">
        <v>637200</v>
      </c>
      <c r="E89" s="15">
        <v>1451.22</v>
      </c>
      <c r="F89" s="16">
        <v>2.3E-3</v>
      </c>
      <c r="G89" s="75"/>
    </row>
    <row r="90" spans="1:7" x14ac:dyDescent="0.25">
      <c r="A90" s="74" t="s">
        <v>613</v>
      </c>
      <c r="B90" s="31" t="s">
        <v>614</v>
      </c>
      <c r="C90" s="31" t="s">
        <v>615</v>
      </c>
      <c r="D90" s="14">
        <v>125000</v>
      </c>
      <c r="E90" s="15">
        <v>1440.69</v>
      </c>
      <c r="F90" s="16">
        <v>2.3E-3</v>
      </c>
      <c r="G90" s="75"/>
    </row>
    <row r="91" spans="1:7" x14ac:dyDescent="0.25">
      <c r="A91" s="74" t="s">
        <v>616</v>
      </c>
      <c r="B91" s="31" t="s">
        <v>617</v>
      </c>
      <c r="C91" s="31" t="s">
        <v>608</v>
      </c>
      <c r="D91" s="14">
        <v>52375</v>
      </c>
      <c r="E91" s="15">
        <v>1380.87</v>
      </c>
      <c r="F91" s="16">
        <v>2.2000000000000001E-3</v>
      </c>
      <c r="G91" s="75"/>
    </row>
    <row r="92" spans="1:7" x14ac:dyDescent="0.25">
      <c r="A92" s="74" t="s">
        <v>618</v>
      </c>
      <c r="B92" s="31" t="s">
        <v>619</v>
      </c>
      <c r="C92" s="31" t="s">
        <v>465</v>
      </c>
      <c r="D92" s="14">
        <v>3352200</v>
      </c>
      <c r="E92" s="15">
        <v>1330.82</v>
      </c>
      <c r="F92" s="16">
        <v>2.0999999999999999E-3</v>
      </c>
      <c r="G92" s="75"/>
    </row>
    <row r="93" spans="1:7" x14ac:dyDescent="0.25">
      <c r="A93" s="74" t="s">
        <v>620</v>
      </c>
      <c r="B93" s="31" t="s">
        <v>621</v>
      </c>
      <c r="C93" s="31" t="s">
        <v>1429</v>
      </c>
      <c r="D93" s="14">
        <v>221400</v>
      </c>
      <c r="E93" s="15">
        <v>1306.48</v>
      </c>
      <c r="F93" s="16">
        <v>2.0999999999999999E-3</v>
      </c>
      <c r="G93" s="75"/>
    </row>
    <row r="94" spans="1:7" x14ac:dyDescent="0.25">
      <c r="A94" s="74" t="s">
        <v>622</v>
      </c>
      <c r="B94" s="31" t="s">
        <v>623</v>
      </c>
      <c r="C94" s="31" t="s">
        <v>465</v>
      </c>
      <c r="D94" s="14">
        <v>176000</v>
      </c>
      <c r="E94" s="15">
        <v>1285.33</v>
      </c>
      <c r="F94" s="16">
        <v>2.0999999999999999E-3</v>
      </c>
      <c r="G94" s="75"/>
    </row>
    <row r="95" spans="1:7" x14ac:dyDescent="0.25">
      <c r="A95" s="74" t="s">
        <v>624</v>
      </c>
      <c r="B95" s="31" t="s">
        <v>625</v>
      </c>
      <c r="C95" s="31" t="s">
        <v>626</v>
      </c>
      <c r="D95" s="14">
        <v>161400</v>
      </c>
      <c r="E95" s="15">
        <v>1257.3900000000001</v>
      </c>
      <c r="F95" s="16">
        <v>2E-3</v>
      </c>
      <c r="G95" s="75"/>
    </row>
    <row r="96" spans="1:7" x14ac:dyDescent="0.25">
      <c r="A96" s="74" t="s">
        <v>627</v>
      </c>
      <c r="B96" s="31" t="s">
        <v>628</v>
      </c>
      <c r="C96" s="31" t="s">
        <v>440</v>
      </c>
      <c r="D96" s="14">
        <v>345600</v>
      </c>
      <c r="E96" s="15">
        <v>1241.9100000000001</v>
      </c>
      <c r="F96" s="16">
        <v>2E-3</v>
      </c>
      <c r="G96" s="75"/>
    </row>
    <row r="97" spans="1:7" x14ac:dyDescent="0.25">
      <c r="A97" s="74" t="s">
        <v>629</v>
      </c>
      <c r="B97" s="31" t="s">
        <v>630</v>
      </c>
      <c r="C97" s="31" t="s">
        <v>459</v>
      </c>
      <c r="D97" s="14">
        <v>917700</v>
      </c>
      <c r="E97" s="15">
        <v>1238.9000000000001</v>
      </c>
      <c r="F97" s="16">
        <v>2E-3</v>
      </c>
      <c r="G97" s="75"/>
    </row>
    <row r="98" spans="1:7" x14ac:dyDescent="0.25">
      <c r="A98" s="74" t="s">
        <v>631</v>
      </c>
      <c r="B98" s="31" t="s">
        <v>632</v>
      </c>
      <c r="C98" s="31" t="s">
        <v>2027</v>
      </c>
      <c r="D98" s="14">
        <v>36050</v>
      </c>
      <c r="E98" s="15">
        <v>1217.3499999999999</v>
      </c>
      <c r="F98" s="16">
        <v>2E-3</v>
      </c>
      <c r="G98" s="75"/>
    </row>
    <row r="99" spans="1:7" x14ac:dyDescent="0.25">
      <c r="A99" s="74" t="s">
        <v>633</v>
      </c>
      <c r="B99" s="31" t="s">
        <v>634</v>
      </c>
      <c r="C99" s="31" t="s">
        <v>2024</v>
      </c>
      <c r="D99" s="14">
        <v>176800</v>
      </c>
      <c r="E99" s="15">
        <v>1188.3599999999999</v>
      </c>
      <c r="F99" s="16">
        <v>1.9E-3</v>
      </c>
      <c r="G99" s="75"/>
    </row>
    <row r="100" spans="1:7" x14ac:dyDescent="0.25">
      <c r="A100" s="74" t="s">
        <v>635</v>
      </c>
      <c r="B100" s="31" t="s">
        <v>636</v>
      </c>
      <c r="C100" s="31" t="s">
        <v>465</v>
      </c>
      <c r="D100" s="14">
        <v>1041300</v>
      </c>
      <c r="E100" s="15">
        <v>1162.0899999999999</v>
      </c>
      <c r="F100" s="16">
        <v>1.9E-3</v>
      </c>
      <c r="G100" s="75"/>
    </row>
    <row r="101" spans="1:7" x14ac:dyDescent="0.25">
      <c r="A101" s="74" t="s">
        <v>637</v>
      </c>
      <c r="B101" s="31" t="s">
        <v>638</v>
      </c>
      <c r="C101" s="31" t="s">
        <v>2027</v>
      </c>
      <c r="D101" s="14">
        <v>31125</v>
      </c>
      <c r="E101" s="15">
        <v>1116.69</v>
      </c>
      <c r="F101" s="16">
        <v>1.8E-3</v>
      </c>
      <c r="G101" s="75"/>
    </row>
    <row r="102" spans="1:7" x14ac:dyDescent="0.25">
      <c r="A102" s="74" t="s">
        <v>639</v>
      </c>
      <c r="B102" s="31" t="s">
        <v>640</v>
      </c>
      <c r="C102" s="31" t="s">
        <v>608</v>
      </c>
      <c r="D102" s="14">
        <v>462530</v>
      </c>
      <c r="E102" s="15">
        <v>1103.1300000000001</v>
      </c>
      <c r="F102" s="16">
        <v>1.8E-3</v>
      </c>
      <c r="G102" s="75"/>
    </row>
    <row r="103" spans="1:7" x14ac:dyDescent="0.25">
      <c r="A103" s="74" t="s">
        <v>641</v>
      </c>
      <c r="B103" s="31" t="s">
        <v>642</v>
      </c>
      <c r="C103" s="31" t="s">
        <v>450</v>
      </c>
      <c r="D103" s="14">
        <v>694400</v>
      </c>
      <c r="E103" s="15">
        <v>1095.76</v>
      </c>
      <c r="F103" s="16">
        <v>1.8E-3</v>
      </c>
      <c r="G103" s="75"/>
    </row>
    <row r="104" spans="1:7" x14ac:dyDescent="0.25">
      <c r="A104" s="74" t="s">
        <v>643</v>
      </c>
      <c r="B104" s="31" t="s">
        <v>644</v>
      </c>
      <c r="C104" s="31" t="s">
        <v>450</v>
      </c>
      <c r="D104" s="14">
        <v>172575</v>
      </c>
      <c r="E104" s="15">
        <v>1089.72</v>
      </c>
      <c r="F104" s="16">
        <v>1.8E-3</v>
      </c>
      <c r="G104" s="75"/>
    </row>
    <row r="105" spans="1:7" x14ac:dyDescent="0.25">
      <c r="A105" s="74" t="s">
        <v>645</v>
      </c>
      <c r="B105" s="31" t="s">
        <v>646</v>
      </c>
      <c r="C105" s="31" t="s">
        <v>2025</v>
      </c>
      <c r="D105" s="14">
        <v>203000</v>
      </c>
      <c r="E105" s="15">
        <v>1088.8900000000001</v>
      </c>
      <c r="F105" s="16">
        <v>1.8E-3</v>
      </c>
      <c r="G105" s="75"/>
    </row>
    <row r="106" spans="1:7" x14ac:dyDescent="0.25">
      <c r="A106" s="74" t="s">
        <v>647</v>
      </c>
      <c r="B106" s="31" t="s">
        <v>648</v>
      </c>
      <c r="C106" s="31" t="s">
        <v>1429</v>
      </c>
      <c r="D106" s="14">
        <v>345650</v>
      </c>
      <c r="E106" s="15">
        <v>1059.42</v>
      </c>
      <c r="F106" s="16">
        <v>1.6999999999999999E-3</v>
      </c>
      <c r="G106" s="75"/>
    </row>
    <row r="107" spans="1:7" x14ac:dyDescent="0.25">
      <c r="A107" s="74" t="s">
        <v>649</v>
      </c>
      <c r="B107" s="31" t="s">
        <v>650</v>
      </c>
      <c r="C107" s="31" t="s">
        <v>2033</v>
      </c>
      <c r="D107" s="14">
        <v>2142000</v>
      </c>
      <c r="E107" s="15">
        <v>1057.08</v>
      </c>
      <c r="F107" s="16">
        <v>1.6999999999999999E-3</v>
      </c>
      <c r="G107" s="75"/>
    </row>
    <row r="108" spans="1:7" x14ac:dyDescent="0.25">
      <c r="A108" s="74" t="s">
        <v>651</v>
      </c>
      <c r="B108" s="31" t="s">
        <v>652</v>
      </c>
      <c r="C108" s="31" t="s">
        <v>615</v>
      </c>
      <c r="D108" s="14">
        <v>64000</v>
      </c>
      <c r="E108" s="15">
        <v>1006.62</v>
      </c>
      <c r="F108" s="16">
        <v>1.6000000000000001E-3</v>
      </c>
      <c r="G108" s="75"/>
    </row>
    <row r="109" spans="1:7" x14ac:dyDescent="0.25">
      <c r="A109" s="74" t="s">
        <v>653</v>
      </c>
      <c r="B109" s="31" t="s">
        <v>654</v>
      </c>
      <c r="C109" s="31" t="s">
        <v>2027</v>
      </c>
      <c r="D109" s="14">
        <v>63000</v>
      </c>
      <c r="E109" s="15">
        <v>944.65</v>
      </c>
      <c r="F109" s="16">
        <v>1.5E-3</v>
      </c>
      <c r="G109" s="75"/>
    </row>
    <row r="110" spans="1:7" x14ac:dyDescent="0.25">
      <c r="A110" s="74" t="s">
        <v>655</v>
      </c>
      <c r="B110" s="31" t="s">
        <v>656</v>
      </c>
      <c r="C110" s="31" t="s">
        <v>450</v>
      </c>
      <c r="D110" s="14">
        <v>82400</v>
      </c>
      <c r="E110" s="15">
        <v>935.12</v>
      </c>
      <c r="F110" s="16">
        <v>1.5E-3</v>
      </c>
      <c r="G110" s="75"/>
    </row>
    <row r="111" spans="1:7" x14ac:dyDescent="0.25">
      <c r="A111" s="74" t="s">
        <v>657</v>
      </c>
      <c r="B111" s="31" t="s">
        <v>658</v>
      </c>
      <c r="C111" s="31" t="s">
        <v>480</v>
      </c>
      <c r="D111" s="14">
        <v>14000</v>
      </c>
      <c r="E111" s="15">
        <v>924.32</v>
      </c>
      <c r="F111" s="16">
        <v>1.5E-3</v>
      </c>
      <c r="G111" s="75"/>
    </row>
    <row r="112" spans="1:7" x14ac:dyDescent="0.25">
      <c r="A112" s="74" t="s">
        <v>659</v>
      </c>
      <c r="B112" s="31" t="s">
        <v>660</v>
      </c>
      <c r="C112" s="31" t="s">
        <v>615</v>
      </c>
      <c r="D112" s="14">
        <v>46200</v>
      </c>
      <c r="E112" s="15">
        <v>906.17</v>
      </c>
      <c r="F112" s="16">
        <v>1.5E-3</v>
      </c>
      <c r="G112" s="75"/>
    </row>
    <row r="113" spans="1:7" x14ac:dyDescent="0.25">
      <c r="A113" s="74" t="s">
        <v>661</v>
      </c>
      <c r="B113" s="31" t="s">
        <v>662</v>
      </c>
      <c r="C113" s="31" t="s">
        <v>2025</v>
      </c>
      <c r="D113" s="14">
        <v>42400</v>
      </c>
      <c r="E113" s="15">
        <v>905.75</v>
      </c>
      <c r="F113" s="16">
        <v>1.5E-3</v>
      </c>
      <c r="G113" s="75"/>
    </row>
    <row r="114" spans="1:7" x14ac:dyDescent="0.25">
      <c r="A114" s="74" t="s">
        <v>663</v>
      </c>
      <c r="B114" s="31" t="s">
        <v>664</v>
      </c>
      <c r="C114" s="31" t="s">
        <v>2027</v>
      </c>
      <c r="D114" s="14">
        <v>14550</v>
      </c>
      <c r="E114" s="15">
        <v>895.61</v>
      </c>
      <c r="F114" s="16">
        <v>1.4E-3</v>
      </c>
      <c r="G114" s="75"/>
    </row>
    <row r="115" spans="1:7" x14ac:dyDescent="0.25">
      <c r="A115" s="74" t="s">
        <v>665</v>
      </c>
      <c r="B115" s="31" t="s">
        <v>666</v>
      </c>
      <c r="C115" s="31" t="s">
        <v>2028</v>
      </c>
      <c r="D115" s="14">
        <v>59850</v>
      </c>
      <c r="E115" s="15">
        <v>891.5</v>
      </c>
      <c r="F115" s="16">
        <v>1.4E-3</v>
      </c>
      <c r="G115" s="75"/>
    </row>
    <row r="116" spans="1:7" x14ac:dyDescent="0.25">
      <c r="A116" s="74" t="s">
        <v>667</v>
      </c>
      <c r="B116" s="31" t="s">
        <v>668</v>
      </c>
      <c r="C116" s="31" t="s">
        <v>450</v>
      </c>
      <c r="D116" s="14">
        <v>720000</v>
      </c>
      <c r="E116" s="15">
        <v>885.96</v>
      </c>
      <c r="F116" s="16">
        <v>1.4E-3</v>
      </c>
      <c r="G116" s="75"/>
    </row>
    <row r="117" spans="1:7" x14ac:dyDescent="0.25">
      <c r="A117" s="74" t="s">
        <v>669</v>
      </c>
      <c r="B117" s="31" t="s">
        <v>670</v>
      </c>
      <c r="C117" s="31" t="s">
        <v>450</v>
      </c>
      <c r="D117" s="14">
        <v>120000</v>
      </c>
      <c r="E117" s="15">
        <v>862.14</v>
      </c>
      <c r="F117" s="16">
        <v>1.4E-3</v>
      </c>
      <c r="G117" s="75"/>
    </row>
    <row r="118" spans="1:7" x14ac:dyDescent="0.25">
      <c r="A118" s="74" t="s">
        <v>671</v>
      </c>
      <c r="B118" s="31" t="s">
        <v>672</v>
      </c>
      <c r="C118" s="31" t="s">
        <v>2029</v>
      </c>
      <c r="D118" s="14">
        <v>2295000</v>
      </c>
      <c r="E118" s="15">
        <v>848</v>
      </c>
      <c r="F118" s="16">
        <v>1.4E-3</v>
      </c>
      <c r="G118" s="75"/>
    </row>
    <row r="119" spans="1:7" x14ac:dyDescent="0.25">
      <c r="A119" s="74" t="s">
        <v>673</v>
      </c>
      <c r="B119" s="31" t="s">
        <v>674</v>
      </c>
      <c r="C119" s="31" t="s">
        <v>2032</v>
      </c>
      <c r="D119" s="14">
        <v>33950</v>
      </c>
      <c r="E119" s="15">
        <v>834.2</v>
      </c>
      <c r="F119" s="16">
        <v>1.2999999999999999E-3</v>
      </c>
      <c r="G119" s="75"/>
    </row>
    <row r="120" spans="1:7" x14ac:dyDescent="0.25">
      <c r="A120" s="74" t="s">
        <v>675</v>
      </c>
      <c r="B120" s="31" t="s">
        <v>676</v>
      </c>
      <c r="C120" s="31" t="s">
        <v>677</v>
      </c>
      <c r="D120" s="14">
        <v>65250</v>
      </c>
      <c r="E120" s="15">
        <v>832.26</v>
      </c>
      <c r="F120" s="16">
        <v>1.2999999999999999E-3</v>
      </c>
      <c r="G120" s="75"/>
    </row>
    <row r="121" spans="1:7" x14ac:dyDescent="0.25">
      <c r="A121" s="74" t="s">
        <v>678</v>
      </c>
      <c r="B121" s="31" t="s">
        <v>679</v>
      </c>
      <c r="C121" s="31" t="s">
        <v>450</v>
      </c>
      <c r="D121" s="14">
        <v>770000</v>
      </c>
      <c r="E121" s="15">
        <v>828.91</v>
      </c>
      <c r="F121" s="16">
        <v>1.2999999999999999E-3</v>
      </c>
      <c r="G121" s="75"/>
    </row>
    <row r="122" spans="1:7" x14ac:dyDescent="0.25">
      <c r="A122" s="74" t="s">
        <v>680</v>
      </c>
      <c r="B122" s="31" t="s">
        <v>681</v>
      </c>
      <c r="C122" s="31" t="s">
        <v>465</v>
      </c>
      <c r="D122" s="14">
        <v>850000</v>
      </c>
      <c r="E122" s="15">
        <v>827.9</v>
      </c>
      <c r="F122" s="16">
        <v>1.2999999999999999E-3</v>
      </c>
      <c r="G122" s="75"/>
    </row>
    <row r="123" spans="1:7" x14ac:dyDescent="0.25">
      <c r="A123" s="74" t="s">
        <v>682</v>
      </c>
      <c r="B123" s="31" t="s">
        <v>683</v>
      </c>
      <c r="C123" s="31" t="s">
        <v>2030</v>
      </c>
      <c r="D123" s="14">
        <v>84000</v>
      </c>
      <c r="E123" s="15">
        <v>818.45</v>
      </c>
      <c r="F123" s="16">
        <v>1.2999999999999999E-3</v>
      </c>
      <c r="G123" s="75"/>
    </row>
    <row r="124" spans="1:7" x14ac:dyDescent="0.25">
      <c r="A124" s="74" t="s">
        <v>684</v>
      </c>
      <c r="B124" s="31" t="s">
        <v>685</v>
      </c>
      <c r="C124" s="31" t="s">
        <v>450</v>
      </c>
      <c r="D124" s="14">
        <v>93500</v>
      </c>
      <c r="E124" s="15">
        <v>796.34</v>
      </c>
      <c r="F124" s="16">
        <v>1.2999999999999999E-3</v>
      </c>
      <c r="G124" s="75"/>
    </row>
    <row r="125" spans="1:7" x14ac:dyDescent="0.25">
      <c r="A125" s="74" t="s">
        <v>686</v>
      </c>
      <c r="B125" s="31" t="s">
        <v>687</v>
      </c>
      <c r="C125" s="31" t="s">
        <v>440</v>
      </c>
      <c r="D125" s="14">
        <v>286200</v>
      </c>
      <c r="E125" s="15">
        <v>770.88</v>
      </c>
      <c r="F125" s="16">
        <v>1.1999999999999999E-3</v>
      </c>
      <c r="G125" s="75"/>
    </row>
    <row r="126" spans="1:7" x14ac:dyDescent="0.25">
      <c r="A126" s="74" t="s">
        <v>688</v>
      </c>
      <c r="B126" s="31" t="s">
        <v>689</v>
      </c>
      <c r="C126" s="31" t="s">
        <v>558</v>
      </c>
      <c r="D126" s="14">
        <v>37950</v>
      </c>
      <c r="E126" s="15">
        <v>767.71</v>
      </c>
      <c r="F126" s="16">
        <v>1.1999999999999999E-3</v>
      </c>
      <c r="G126" s="75"/>
    </row>
    <row r="127" spans="1:7" x14ac:dyDescent="0.25">
      <c r="A127" s="74" t="s">
        <v>690</v>
      </c>
      <c r="B127" s="31" t="s">
        <v>691</v>
      </c>
      <c r="C127" s="31" t="s">
        <v>1429</v>
      </c>
      <c r="D127" s="14">
        <v>17375</v>
      </c>
      <c r="E127" s="15">
        <v>746.33</v>
      </c>
      <c r="F127" s="16">
        <v>1.1999999999999999E-3</v>
      </c>
      <c r="G127" s="75"/>
    </row>
    <row r="128" spans="1:7" x14ac:dyDescent="0.25">
      <c r="A128" s="74" t="s">
        <v>692</v>
      </c>
      <c r="B128" s="31" t="s">
        <v>693</v>
      </c>
      <c r="C128" s="31" t="s">
        <v>480</v>
      </c>
      <c r="D128" s="14">
        <v>34500</v>
      </c>
      <c r="E128" s="15">
        <v>742.22</v>
      </c>
      <c r="F128" s="16">
        <v>1.1999999999999999E-3</v>
      </c>
      <c r="G128" s="75"/>
    </row>
    <row r="129" spans="1:7" x14ac:dyDescent="0.25">
      <c r="A129" s="74" t="s">
        <v>694</v>
      </c>
      <c r="B129" s="31" t="s">
        <v>695</v>
      </c>
      <c r="C129" s="31" t="s">
        <v>2032</v>
      </c>
      <c r="D129" s="14">
        <v>116200</v>
      </c>
      <c r="E129" s="15">
        <v>727.01</v>
      </c>
      <c r="F129" s="16">
        <v>1.1999999999999999E-3</v>
      </c>
      <c r="G129" s="75"/>
    </row>
    <row r="130" spans="1:7" x14ac:dyDescent="0.25">
      <c r="A130" s="74" t="s">
        <v>696</v>
      </c>
      <c r="B130" s="31" t="s">
        <v>697</v>
      </c>
      <c r="C130" s="31" t="s">
        <v>2032</v>
      </c>
      <c r="D130" s="14">
        <v>616500</v>
      </c>
      <c r="E130" s="15">
        <v>722.85</v>
      </c>
      <c r="F130" s="16">
        <v>1.1999999999999999E-3</v>
      </c>
      <c r="G130" s="75"/>
    </row>
    <row r="131" spans="1:7" x14ac:dyDescent="0.25">
      <c r="A131" s="74" t="s">
        <v>698</v>
      </c>
      <c r="B131" s="31" t="s">
        <v>699</v>
      </c>
      <c r="C131" s="31" t="s">
        <v>480</v>
      </c>
      <c r="D131" s="14">
        <v>339300</v>
      </c>
      <c r="E131" s="15">
        <v>710.83</v>
      </c>
      <c r="F131" s="16">
        <v>1.1000000000000001E-3</v>
      </c>
      <c r="G131" s="75"/>
    </row>
    <row r="132" spans="1:7" x14ac:dyDescent="0.25">
      <c r="A132" s="74" t="s">
        <v>700</v>
      </c>
      <c r="B132" s="31" t="s">
        <v>701</v>
      </c>
      <c r="C132" s="31" t="s">
        <v>480</v>
      </c>
      <c r="D132" s="14">
        <v>47250</v>
      </c>
      <c r="E132" s="15">
        <v>706.67</v>
      </c>
      <c r="F132" s="16">
        <v>1.1000000000000001E-3</v>
      </c>
      <c r="G132" s="75"/>
    </row>
    <row r="133" spans="1:7" x14ac:dyDescent="0.25">
      <c r="A133" s="74" t="s">
        <v>702</v>
      </c>
      <c r="B133" s="31" t="s">
        <v>703</v>
      </c>
      <c r="C133" s="31" t="s">
        <v>2032</v>
      </c>
      <c r="D133" s="14">
        <v>151050</v>
      </c>
      <c r="E133" s="15">
        <v>655.17999999999995</v>
      </c>
      <c r="F133" s="16">
        <v>1.1000000000000001E-3</v>
      </c>
      <c r="G133" s="75"/>
    </row>
    <row r="134" spans="1:7" x14ac:dyDescent="0.25">
      <c r="A134" s="74" t="s">
        <v>704</v>
      </c>
      <c r="B134" s="31" t="s">
        <v>705</v>
      </c>
      <c r="C134" s="31" t="s">
        <v>1429</v>
      </c>
      <c r="D134" s="14">
        <v>86800</v>
      </c>
      <c r="E134" s="15">
        <v>643.71</v>
      </c>
      <c r="F134" s="16">
        <v>1E-3</v>
      </c>
      <c r="G134" s="75"/>
    </row>
    <row r="135" spans="1:7" x14ac:dyDescent="0.25">
      <c r="A135" s="74" t="s">
        <v>706</v>
      </c>
      <c r="B135" s="31" t="s">
        <v>707</v>
      </c>
      <c r="C135" s="31" t="s">
        <v>1429</v>
      </c>
      <c r="D135" s="14">
        <v>185400</v>
      </c>
      <c r="E135" s="15">
        <v>642.6</v>
      </c>
      <c r="F135" s="16">
        <v>1E-3</v>
      </c>
      <c r="G135" s="75"/>
    </row>
    <row r="136" spans="1:7" x14ac:dyDescent="0.25">
      <c r="A136" s="74" t="s">
        <v>708</v>
      </c>
      <c r="B136" s="31" t="s">
        <v>709</v>
      </c>
      <c r="C136" s="31" t="s">
        <v>459</v>
      </c>
      <c r="D136" s="14">
        <v>282649</v>
      </c>
      <c r="E136" s="15">
        <v>612.78</v>
      </c>
      <c r="F136" s="16">
        <v>1E-3</v>
      </c>
      <c r="G136" s="75"/>
    </row>
    <row r="137" spans="1:7" x14ac:dyDescent="0.25">
      <c r="A137" s="74" t="s">
        <v>710</v>
      </c>
      <c r="B137" s="31" t="s">
        <v>711</v>
      </c>
      <c r="C137" s="31" t="s">
        <v>465</v>
      </c>
      <c r="D137" s="14">
        <v>48000</v>
      </c>
      <c r="E137" s="15">
        <v>598.20000000000005</v>
      </c>
      <c r="F137" s="16">
        <v>1E-3</v>
      </c>
      <c r="G137" s="75"/>
    </row>
    <row r="138" spans="1:7" x14ac:dyDescent="0.25">
      <c r="A138" s="74" t="s">
        <v>712</v>
      </c>
      <c r="B138" s="31" t="s">
        <v>713</v>
      </c>
      <c r="C138" s="31" t="s">
        <v>1429</v>
      </c>
      <c r="D138" s="14">
        <v>88500</v>
      </c>
      <c r="E138" s="15">
        <v>591.66999999999996</v>
      </c>
      <c r="F138" s="16">
        <v>1E-3</v>
      </c>
      <c r="G138" s="75"/>
    </row>
    <row r="139" spans="1:7" x14ac:dyDescent="0.25">
      <c r="A139" s="74" t="s">
        <v>714</v>
      </c>
      <c r="B139" s="31" t="s">
        <v>715</v>
      </c>
      <c r="C139" s="31" t="s">
        <v>1429</v>
      </c>
      <c r="D139" s="14">
        <v>54450</v>
      </c>
      <c r="E139" s="15">
        <v>580.29999999999995</v>
      </c>
      <c r="F139" s="16">
        <v>8.9999999999999998E-4</v>
      </c>
      <c r="G139" s="75"/>
    </row>
    <row r="140" spans="1:7" x14ac:dyDescent="0.25">
      <c r="A140" s="74" t="s">
        <v>716</v>
      </c>
      <c r="B140" s="31" t="s">
        <v>717</v>
      </c>
      <c r="C140" s="31" t="s">
        <v>615</v>
      </c>
      <c r="D140" s="14">
        <v>21750</v>
      </c>
      <c r="E140" s="15">
        <v>551.61</v>
      </c>
      <c r="F140" s="16">
        <v>8.9999999999999998E-4</v>
      </c>
      <c r="G140" s="75"/>
    </row>
    <row r="141" spans="1:7" x14ac:dyDescent="0.25">
      <c r="A141" s="74" t="s">
        <v>718</v>
      </c>
      <c r="B141" s="31" t="s">
        <v>719</v>
      </c>
      <c r="C141" s="31" t="s">
        <v>2034</v>
      </c>
      <c r="D141" s="14">
        <v>123000</v>
      </c>
      <c r="E141" s="15">
        <v>519.17999999999995</v>
      </c>
      <c r="F141" s="16">
        <v>8.0000000000000004E-4</v>
      </c>
      <c r="G141" s="75"/>
    </row>
    <row r="142" spans="1:7" x14ac:dyDescent="0.25">
      <c r="A142" s="74" t="s">
        <v>720</v>
      </c>
      <c r="B142" s="31" t="s">
        <v>721</v>
      </c>
      <c r="C142" s="31" t="s">
        <v>494</v>
      </c>
      <c r="D142" s="14">
        <v>54600</v>
      </c>
      <c r="E142" s="15">
        <v>513.16</v>
      </c>
      <c r="F142" s="16">
        <v>8.0000000000000004E-4</v>
      </c>
      <c r="G142" s="75"/>
    </row>
    <row r="143" spans="1:7" x14ac:dyDescent="0.25">
      <c r="A143" s="74" t="s">
        <v>722</v>
      </c>
      <c r="B143" s="31" t="s">
        <v>723</v>
      </c>
      <c r="C143" s="31" t="s">
        <v>2027</v>
      </c>
      <c r="D143" s="14">
        <v>53250</v>
      </c>
      <c r="E143" s="15">
        <v>503.61</v>
      </c>
      <c r="F143" s="16">
        <v>8.0000000000000004E-4</v>
      </c>
      <c r="G143" s="75"/>
    </row>
    <row r="144" spans="1:7" x14ac:dyDescent="0.25">
      <c r="A144" s="74" t="s">
        <v>724</v>
      </c>
      <c r="B144" s="31" t="s">
        <v>725</v>
      </c>
      <c r="C144" s="31" t="s">
        <v>1429</v>
      </c>
      <c r="D144" s="14">
        <v>54600</v>
      </c>
      <c r="E144" s="15">
        <v>499.45</v>
      </c>
      <c r="F144" s="16">
        <v>8.0000000000000004E-4</v>
      </c>
      <c r="G144" s="75"/>
    </row>
    <row r="145" spans="1:7" x14ac:dyDescent="0.25">
      <c r="A145" s="74" t="s">
        <v>726</v>
      </c>
      <c r="B145" s="31" t="s">
        <v>727</v>
      </c>
      <c r="C145" s="31" t="s">
        <v>728</v>
      </c>
      <c r="D145" s="14">
        <v>300300</v>
      </c>
      <c r="E145" s="15">
        <v>492.19</v>
      </c>
      <c r="F145" s="16">
        <v>8.0000000000000004E-4</v>
      </c>
      <c r="G145" s="75"/>
    </row>
    <row r="146" spans="1:7" x14ac:dyDescent="0.25">
      <c r="A146" s="74" t="s">
        <v>729</v>
      </c>
      <c r="B146" s="31" t="s">
        <v>730</v>
      </c>
      <c r="C146" s="31" t="s">
        <v>2028</v>
      </c>
      <c r="D146" s="14">
        <v>56025</v>
      </c>
      <c r="E146" s="15">
        <v>435.54</v>
      </c>
      <c r="F146" s="16">
        <v>6.9999999999999999E-4</v>
      </c>
      <c r="G146" s="75"/>
    </row>
    <row r="147" spans="1:7" x14ac:dyDescent="0.25">
      <c r="A147" s="74" t="s">
        <v>731</v>
      </c>
      <c r="B147" s="31" t="s">
        <v>732</v>
      </c>
      <c r="C147" s="31" t="s">
        <v>677</v>
      </c>
      <c r="D147" s="14">
        <v>9125</v>
      </c>
      <c r="E147" s="15">
        <v>411.49</v>
      </c>
      <c r="F147" s="16">
        <v>6.9999999999999999E-4</v>
      </c>
      <c r="G147" s="75"/>
    </row>
    <row r="148" spans="1:7" x14ac:dyDescent="0.25">
      <c r="A148" s="74" t="s">
        <v>733</v>
      </c>
      <c r="B148" s="31" t="s">
        <v>734</v>
      </c>
      <c r="C148" s="31" t="s">
        <v>626</v>
      </c>
      <c r="D148" s="14">
        <v>210000</v>
      </c>
      <c r="E148" s="15">
        <v>406.88</v>
      </c>
      <c r="F148" s="16">
        <v>6.9999999999999999E-4</v>
      </c>
      <c r="G148" s="75"/>
    </row>
    <row r="149" spans="1:7" x14ac:dyDescent="0.25">
      <c r="A149" s="74" t="s">
        <v>735</v>
      </c>
      <c r="B149" s="31" t="s">
        <v>736</v>
      </c>
      <c r="C149" s="31" t="s">
        <v>487</v>
      </c>
      <c r="D149" s="14">
        <v>2350</v>
      </c>
      <c r="E149" s="15">
        <v>400.92</v>
      </c>
      <c r="F149" s="16">
        <v>5.9999999999999995E-4</v>
      </c>
      <c r="G149" s="75"/>
    </row>
    <row r="150" spans="1:7" x14ac:dyDescent="0.25">
      <c r="A150" s="74" t="s">
        <v>737</v>
      </c>
      <c r="B150" s="31" t="s">
        <v>738</v>
      </c>
      <c r="C150" s="31" t="s">
        <v>2027</v>
      </c>
      <c r="D150" s="14">
        <v>8400</v>
      </c>
      <c r="E150" s="15">
        <v>400.29</v>
      </c>
      <c r="F150" s="16">
        <v>5.9999999999999995E-4</v>
      </c>
      <c r="G150" s="75"/>
    </row>
    <row r="151" spans="1:7" x14ac:dyDescent="0.25">
      <c r="A151" s="74" t="s">
        <v>739</v>
      </c>
      <c r="B151" s="31" t="s">
        <v>740</v>
      </c>
      <c r="C151" s="31" t="s">
        <v>2030</v>
      </c>
      <c r="D151" s="14">
        <v>200000</v>
      </c>
      <c r="E151" s="15">
        <v>388</v>
      </c>
      <c r="F151" s="16">
        <v>5.9999999999999995E-4</v>
      </c>
      <c r="G151" s="75"/>
    </row>
    <row r="152" spans="1:7" x14ac:dyDescent="0.25">
      <c r="A152" s="74" t="s">
        <v>741</v>
      </c>
      <c r="B152" s="31" t="s">
        <v>742</v>
      </c>
      <c r="C152" s="31" t="s">
        <v>2032</v>
      </c>
      <c r="D152" s="14">
        <v>46900</v>
      </c>
      <c r="E152" s="15">
        <v>378.27</v>
      </c>
      <c r="F152" s="16">
        <v>5.9999999999999995E-4</v>
      </c>
      <c r="G152" s="75"/>
    </row>
    <row r="153" spans="1:7" x14ac:dyDescent="0.25">
      <c r="A153" s="74" t="s">
        <v>743</v>
      </c>
      <c r="B153" s="31" t="s">
        <v>744</v>
      </c>
      <c r="C153" s="31" t="s">
        <v>462</v>
      </c>
      <c r="D153" s="14">
        <v>331100</v>
      </c>
      <c r="E153" s="15">
        <v>376.63</v>
      </c>
      <c r="F153" s="16">
        <v>5.9999999999999995E-4</v>
      </c>
      <c r="G153" s="75"/>
    </row>
    <row r="154" spans="1:7" x14ac:dyDescent="0.25">
      <c r="A154" s="74" t="s">
        <v>745</v>
      </c>
      <c r="B154" s="31" t="s">
        <v>746</v>
      </c>
      <c r="C154" s="31" t="s">
        <v>615</v>
      </c>
      <c r="D154" s="14">
        <v>97900</v>
      </c>
      <c r="E154" s="15">
        <v>366.15</v>
      </c>
      <c r="F154" s="16">
        <v>5.9999999999999995E-4</v>
      </c>
      <c r="G154" s="75"/>
    </row>
    <row r="155" spans="1:7" x14ac:dyDescent="0.25">
      <c r="A155" s="74" t="s">
        <v>747</v>
      </c>
      <c r="B155" s="31" t="s">
        <v>748</v>
      </c>
      <c r="C155" s="31" t="s">
        <v>456</v>
      </c>
      <c r="D155" s="14">
        <v>49950</v>
      </c>
      <c r="E155" s="15">
        <v>365.96</v>
      </c>
      <c r="F155" s="16">
        <v>5.9999999999999995E-4</v>
      </c>
      <c r="G155" s="75"/>
    </row>
    <row r="156" spans="1:7" x14ac:dyDescent="0.25">
      <c r="A156" s="74" t="s">
        <v>749</v>
      </c>
      <c r="B156" s="31" t="s">
        <v>750</v>
      </c>
      <c r="C156" s="31" t="s">
        <v>2034</v>
      </c>
      <c r="D156" s="14">
        <v>45625</v>
      </c>
      <c r="E156" s="15">
        <v>364.82</v>
      </c>
      <c r="F156" s="16">
        <v>5.9999999999999995E-4</v>
      </c>
      <c r="G156" s="75"/>
    </row>
    <row r="157" spans="1:7" x14ac:dyDescent="0.25">
      <c r="A157" s="74" t="s">
        <v>751</v>
      </c>
      <c r="B157" s="31" t="s">
        <v>752</v>
      </c>
      <c r="C157" s="31" t="s">
        <v>440</v>
      </c>
      <c r="D157" s="14">
        <v>299000</v>
      </c>
      <c r="E157" s="15">
        <v>355.66</v>
      </c>
      <c r="F157" s="16">
        <v>5.9999999999999995E-4</v>
      </c>
      <c r="G157" s="75"/>
    </row>
    <row r="158" spans="1:7" x14ac:dyDescent="0.25">
      <c r="A158" s="74" t="s">
        <v>753</v>
      </c>
      <c r="B158" s="31" t="s">
        <v>754</v>
      </c>
      <c r="C158" s="31" t="s">
        <v>487</v>
      </c>
      <c r="D158" s="14">
        <v>26350</v>
      </c>
      <c r="E158" s="15">
        <v>350.01</v>
      </c>
      <c r="F158" s="16">
        <v>5.9999999999999995E-4</v>
      </c>
      <c r="G158" s="75"/>
    </row>
    <row r="159" spans="1:7" x14ac:dyDescent="0.25">
      <c r="A159" s="74" t="s">
        <v>755</v>
      </c>
      <c r="B159" s="31" t="s">
        <v>756</v>
      </c>
      <c r="C159" s="31" t="s">
        <v>480</v>
      </c>
      <c r="D159" s="14">
        <v>14175</v>
      </c>
      <c r="E159" s="15">
        <v>344.64</v>
      </c>
      <c r="F159" s="16">
        <v>5.9999999999999995E-4</v>
      </c>
      <c r="G159" s="75"/>
    </row>
    <row r="160" spans="1:7" x14ac:dyDescent="0.25">
      <c r="A160" s="74" t="s">
        <v>757</v>
      </c>
      <c r="B160" s="31" t="s">
        <v>758</v>
      </c>
      <c r="C160" s="31" t="s">
        <v>514</v>
      </c>
      <c r="D160" s="14">
        <v>96000</v>
      </c>
      <c r="E160" s="15">
        <v>333.74</v>
      </c>
      <c r="F160" s="16">
        <v>5.0000000000000001E-4</v>
      </c>
      <c r="G160" s="75"/>
    </row>
    <row r="161" spans="1:7" x14ac:dyDescent="0.25">
      <c r="A161" s="74" t="s">
        <v>759</v>
      </c>
      <c r="B161" s="31" t="s">
        <v>760</v>
      </c>
      <c r="C161" s="31" t="s">
        <v>2033</v>
      </c>
      <c r="D161" s="14">
        <v>13750</v>
      </c>
      <c r="E161" s="15">
        <v>325.63</v>
      </c>
      <c r="F161" s="16">
        <v>5.0000000000000001E-4</v>
      </c>
      <c r="G161" s="75"/>
    </row>
    <row r="162" spans="1:7" x14ac:dyDescent="0.25">
      <c r="A162" s="74" t="s">
        <v>761</v>
      </c>
      <c r="B162" s="31" t="s">
        <v>762</v>
      </c>
      <c r="C162" s="31" t="s">
        <v>2030</v>
      </c>
      <c r="D162" s="14">
        <v>33150</v>
      </c>
      <c r="E162" s="15">
        <v>317.13</v>
      </c>
      <c r="F162" s="16">
        <v>5.0000000000000001E-4</v>
      </c>
      <c r="G162" s="75"/>
    </row>
    <row r="163" spans="1:7" x14ac:dyDescent="0.25">
      <c r="A163" s="74" t="s">
        <v>763</v>
      </c>
      <c r="B163" s="31" t="s">
        <v>764</v>
      </c>
      <c r="C163" s="31" t="s">
        <v>1429</v>
      </c>
      <c r="D163" s="14">
        <v>7125</v>
      </c>
      <c r="E163" s="15">
        <v>309.81</v>
      </c>
      <c r="F163" s="16">
        <v>5.0000000000000001E-4</v>
      </c>
      <c r="G163" s="75"/>
    </row>
    <row r="164" spans="1:7" x14ac:dyDescent="0.25">
      <c r="A164" s="74" t="s">
        <v>765</v>
      </c>
      <c r="B164" s="31" t="s">
        <v>766</v>
      </c>
      <c r="C164" s="31" t="s">
        <v>2035</v>
      </c>
      <c r="D164" s="14">
        <v>690</v>
      </c>
      <c r="E164" s="15">
        <v>298.01</v>
      </c>
      <c r="F164" s="16">
        <v>5.0000000000000001E-4</v>
      </c>
      <c r="G164" s="75"/>
    </row>
    <row r="165" spans="1:7" x14ac:dyDescent="0.25">
      <c r="A165" s="74" t="s">
        <v>767</v>
      </c>
      <c r="B165" s="31" t="s">
        <v>768</v>
      </c>
      <c r="C165" s="31" t="s">
        <v>626</v>
      </c>
      <c r="D165" s="14">
        <v>77000</v>
      </c>
      <c r="E165" s="15">
        <v>287.33</v>
      </c>
      <c r="F165" s="16">
        <v>5.0000000000000001E-4</v>
      </c>
      <c r="G165" s="75"/>
    </row>
    <row r="166" spans="1:7" x14ac:dyDescent="0.25">
      <c r="A166" s="74" t="s">
        <v>769</v>
      </c>
      <c r="B166" s="31" t="s">
        <v>770</v>
      </c>
      <c r="C166" s="31" t="s">
        <v>2033</v>
      </c>
      <c r="D166" s="14">
        <v>13250</v>
      </c>
      <c r="E166" s="15">
        <v>285.93</v>
      </c>
      <c r="F166" s="16">
        <v>5.0000000000000001E-4</v>
      </c>
      <c r="G166" s="75"/>
    </row>
    <row r="167" spans="1:7" x14ac:dyDescent="0.25">
      <c r="A167" s="74" t="s">
        <v>771</v>
      </c>
      <c r="B167" s="31" t="s">
        <v>772</v>
      </c>
      <c r="C167" s="31" t="s">
        <v>465</v>
      </c>
      <c r="D167" s="14">
        <v>210800</v>
      </c>
      <c r="E167" s="15">
        <v>271.72000000000003</v>
      </c>
      <c r="F167" s="16">
        <v>4.0000000000000002E-4</v>
      </c>
      <c r="G167" s="75"/>
    </row>
    <row r="168" spans="1:7" x14ac:dyDescent="0.25">
      <c r="A168" s="74" t="s">
        <v>773</v>
      </c>
      <c r="B168" s="31" t="s">
        <v>774</v>
      </c>
      <c r="C168" s="31" t="s">
        <v>573</v>
      </c>
      <c r="D168" s="14">
        <v>45050</v>
      </c>
      <c r="E168" s="15">
        <v>269.22000000000003</v>
      </c>
      <c r="F168" s="16">
        <v>4.0000000000000002E-4</v>
      </c>
      <c r="G168" s="75"/>
    </row>
    <row r="169" spans="1:7" x14ac:dyDescent="0.25">
      <c r="A169" s="74" t="s">
        <v>775</v>
      </c>
      <c r="B169" s="31" t="s">
        <v>776</v>
      </c>
      <c r="C169" s="31" t="s">
        <v>459</v>
      </c>
      <c r="D169" s="14">
        <v>54000</v>
      </c>
      <c r="E169" s="15">
        <v>265.60000000000002</v>
      </c>
      <c r="F169" s="16">
        <v>4.0000000000000002E-4</v>
      </c>
      <c r="G169" s="75"/>
    </row>
    <row r="170" spans="1:7" x14ac:dyDescent="0.25">
      <c r="A170" s="74" t="s">
        <v>777</v>
      </c>
      <c r="B170" s="31" t="s">
        <v>778</v>
      </c>
      <c r="C170" s="31" t="s">
        <v>1429</v>
      </c>
      <c r="D170" s="14">
        <v>5200</v>
      </c>
      <c r="E170" s="15">
        <v>228.91</v>
      </c>
      <c r="F170" s="16">
        <v>4.0000000000000002E-4</v>
      </c>
      <c r="G170" s="75"/>
    </row>
    <row r="171" spans="1:7" x14ac:dyDescent="0.25">
      <c r="A171" s="74" t="s">
        <v>779</v>
      </c>
      <c r="B171" s="31" t="s">
        <v>780</v>
      </c>
      <c r="C171" s="31" t="s">
        <v>494</v>
      </c>
      <c r="D171" s="14">
        <v>624000</v>
      </c>
      <c r="E171" s="15">
        <v>226.51</v>
      </c>
      <c r="F171" s="16">
        <v>4.0000000000000002E-4</v>
      </c>
      <c r="G171" s="75"/>
    </row>
    <row r="172" spans="1:7" x14ac:dyDescent="0.25">
      <c r="A172" s="74" t="s">
        <v>781</v>
      </c>
      <c r="B172" s="31" t="s">
        <v>782</v>
      </c>
      <c r="C172" s="31" t="s">
        <v>487</v>
      </c>
      <c r="D172" s="14">
        <v>28600</v>
      </c>
      <c r="E172" s="15">
        <v>215.62</v>
      </c>
      <c r="F172" s="16">
        <v>2.9999999999999997E-4</v>
      </c>
      <c r="G172" s="75"/>
    </row>
    <row r="173" spans="1:7" x14ac:dyDescent="0.25">
      <c r="A173" s="74" t="s">
        <v>783</v>
      </c>
      <c r="B173" s="31" t="s">
        <v>784</v>
      </c>
      <c r="C173" s="31" t="s">
        <v>626</v>
      </c>
      <c r="D173" s="14">
        <v>41250</v>
      </c>
      <c r="E173" s="15">
        <v>207.59</v>
      </c>
      <c r="F173" s="16">
        <v>2.9999999999999997E-4</v>
      </c>
      <c r="G173" s="75"/>
    </row>
    <row r="174" spans="1:7" x14ac:dyDescent="0.25">
      <c r="A174" s="74" t="s">
        <v>785</v>
      </c>
      <c r="B174" s="31" t="s">
        <v>786</v>
      </c>
      <c r="C174" s="31" t="s">
        <v>2026</v>
      </c>
      <c r="D174" s="14">
        <v>113400</v>
      </c>
      <c r="E174" s="15">
        <v>207.58</v>
      </c>
      <c r="F174" s="16">
        <v>2.9999999999999997E-4</v>
      </c>
      <c r="G174" s="75"/>
    </row>
    <row r="175" spans="1:7" x14ac:dyDescent="0.25">
      <c r="A175" s="74" t="s">
        <v>787</v>
      </c>
      <c r="B175" s="31" t="s">
        <v>788</v>
      </c>
      <c r="C175" s="31" t="s">
        <v>626</v>
      </c>
      <c r="D175" s="14">
        <v>79900</v>
      </c>
      <c r="E175" s="15">
        <v>206.98</v>
      </c>
      <c r="F175" s="16">
        <v>2.9999999999999997E-4</v>
      </c>
      <c r="G175" s="75"/>
    </row>
    <row r="176" spans="1:7" x14ac:dyDescent="0.25">
      <c r="A176" s="74" t="s">
        <v>789</v>
      </c>
      <c r="B176" s="31" t="s">
        <v>790</v>
      </c>
      <c r="C176" s="31" t="s">
        <v>2025</v>
      </c>
      <c r="D176" s="14">
        <v>1400</v>
      </c>
      <c r="E176" s="15">
        <v>202.14</v>
      </c>
      <c r="F176" s="16">
        <v>2.9999999999999997E-4</v>
      </c>
      <c r="G176" s="75"/>
    </row>
    <row r="177" spans="1:7" x14ac:dyDescent="0.25">
      <c r="A177" s="74" t="s">
        <v>791</v>
      </c>
      <c r="B177" s="31" t="s">
        <v>792</v>
      </c>
      <c r="C177" s="31" t="s">
        <v>2028</v>
      </c>
      <c r="D177" s="14">
        <v>37000</v>
      </c>
      <c r="E177" s="15">
        <v>186.37</v>
      </c>
      <c r="F177" s="16">
        <v>2.9999999999999997E-4</v>
      </c>
      <c r="G177" s="75"/>
    </row>
    <row r="178" spans="1:7" x14ac:dyDescent="0.25">
      <c r="A178" s="74" t="s">
        <v>793</v>
      </c>
      <c r="B178" s="31" t="s">
        <v>794</v>
      </c>
      <c r="C178" s="31" t="s">
        <v>1429</v>
      </c>
      <c r="D178" s="14">
        <v>1050</v>
      </c>
      <c r="E178" s="15">
        <v>185.88</v>
      </c>
      <c r="F178" s="16">
        <v>2.9999999999999997E-4</v>
      </c>
      <c r="G178" s="75"/>
    </row>
    <row r="179" spans="1:7" x14ac:dyDescent="0.25">
      <c r="A179" s="74" t="s">
        <v>795</v>
      </c>
      <c r="B179" s="31" t="s">
        <v>796</v>
      </c>
      <c r="C179" s="31" t="s">
        <v>2028</v>
      </c>
      <c r="D179" s="14">
        <v>31250</v>
      </c>
      <c r="E179" s="15">
        <v>167.56</v>
      </c>
      <c r="F179" s="16">
        <v>2.9999999999999997E-4</v>
      </c>
      <c r="G179" s="75"/>
    </row>
    <row r="180" spans="1:7" x14ac:dyDescent="0.25">
      <c r="A180" s="74" t="s">
        <v>797</v>
      </c>
      <c r="B180" s="31" t="s">
        <v>798</v>
      </c>
      <c r="C180" s="31" t="s">
        <v>1429</v>
      </c>
      <c r="D180" s="14">
        <v>36800</v>
      </c>
      <c r="E180" s="15">
        <v>162.66</v>
      </c>
      <c r="F180" s="16">
        <v>2.9999999999999997E-4</v>
      </c>
      <c r="G180" s="75"/>
    </row>
    <row r="181" spans="1:7" x14ac:dyDescent="0.25">
      <c r="A181" s="74" t="s">
        <v>799</v>
      </c>
      <c r="B181" s="31" t="s">
        <v>800</v>
      </c>
      <c r="C181" s="31" t="s">
        <v>1429</v>
      </c>
      <c r="D181" s="14">
        <v>5500</v>
      </c>
      <c r="E181" s="15">
        <v>153.56</v>
      </c>
      <c r="F181" s="16">
        <v>2.0000000000000001E-4</v>
      </c>
      <c r="G181" s="75"/>
    </row>
    <row r="182" spans="1:7" x14ac:dyDescent="0.25">
      <c r="A182" s="74" t="s">
        <v>801</v>
      </c>
      <c r="B182" s="31" t="s">
        <v>802</v>
      </c>
      <c r="C182" s="31" t="s">
        <v>2030</v>
      </c>
      <c r="D182" s="14">
        <v>3150</v>
      </c>
      <c r="E182" s="15">
        <v>128.59</v>
      </c>
      <c r="F182" s="16">
        <v>2.0000000000000001E-4</v>
      </c>
      <c r="G182" s="75"/>
    </row>
    <row r="183" spans="1:7" x14ac:dyDescent="0.25">
      <c r="A183" s="74" t="s">
        <v>803</v>
      </c>
      <c r="B183" s="31" t="s">
        <v>804</v>
      </c>
      <c r="C183" s="31" t="s">
        <v>2028</v>
      </c>
      <c r="D183" s="14">
        <v>3150</v>
      </c>
      <c r="E183" s="15">
        <v>97.02</v>
      </c>
      <c r="F183" s="16">
        <v>2.0000000000000001E-4</v>
      </c>
      <c r="G183" s="75"/>
    </row>
    <row r="184" spans="1:7" x14ac:dyDescent="0.25">
      <c r="A184" s="74" t="s">
        <v>805</v>
      </c>
      <c r="B184" s="31" t="s">
        <v>806</v>
      </c>
      <c r="C184" s="31" t="s">
        <v>2027</v>
      </c>
      <c r="D184" s="14">
        <v>13000</v>
      </c>
      <c r="E184" s="15">
        <v>59.14</v>
      </c>
      <c r="F184" s="16">
        <v>1E-4</v>
      </c>
      <c r="G184" s="75"/>
    </row>
    <row r="185" spans="1:7" x14ac:dyDescent="0.25">
      <c r="A185" s="74" t="s">
        <v>807</v>
      </c>
      <c r="B185" s="31" t="s">
        <v>808</v>
      </c>
      <c r="C185" s="31" t="s">
        <v>558</v>
      </c>
      <c r="D185" s="14">
        <v>2400</v>
      </c>
      <c r="E185" s="15">
        <v>56.75</v>
      </c>
      <c r="F185" s="16">
        <v>1E-4</v>
      </c>
      <c r="G185" s="75"/>
    </row>
    <row r="186" spans="1:7" x14ac:dyDescent="0.25">
      <c r="A186" s="74" t="s">
        <v>809</v>
      </c>
      <c r="B186" s="31" t="s">
        <v>810</v>
      </c>
      <c r="C186" s="31" t="s">
        <v>2030</v>
      </c>
      <c r="D186" s="14">
        <v>1750</v>
      </c>
      <c r="E186" s="15">
        <v>42.95</v>
      </c>
      <c r="F186" s="16">
        <v>1E-4</v>
      </c>
      <c r="G186" s="75"/>
    </row>
    <row r="187" spans="1:7" x14ac:dyDescent="0.25">
      <c r="A187" s="74" t="s">
        <v>811</v>
      </c>
      <c r="B187" s="31" t="s">
        <v>812</v>
      </c>
      <c r="C187" s="31" t="s">
        <v>2027</v>
      </c>
      <c r="D187" s="14">
        <v>800</v>
      </c>
      <c r="E187" s="15">
        <v>40.840000000000003</v>
      </c>
      <c r="F187" s="16">
        <v>1E-4</v>
      </c>
      <c r="G187" s="75"/>
    </row>
    <row r="188" spans="1:7" x14ac:dyDescent="0.25">
      <c r="A188" s="74" t="s">
        <v>813</v>
      </c>
      <c r="B188" s="31" t="s">
        <v>814</v>
      </c>
      <c r="C188" s="31" t="s">
        <v>2028</v>
      </c>
      <c r="D188" s="14">
        <v>4400</v>
      </c>
      <c r="E188" s="15">
        <v>30.79</v>
      </c>
      <c r="F188" s="53" t="s">
        <v>2022</v>
      </c>
      <c r="G188" s="75"/>
    </row>
    <row r="189" spans="1:7" x14ac:dyDescent="0.25">
      <c r="A189" s="76" t="s">
        <v>90</v>
      </c>
      <c r="B189" s="32"/>
      <c r="C189" s="32"/>
      <c r="D189" s="18"/>
      <c r="E189" s="35">
        <v>443994.45</v>
      </c>
      <c r="F189" s="36">
        <v>0.71619999999999995</v>
      </c>
      <c r="G189" s="77"/>
    </row>
    <row r="190" spans="1:7" x14ac:dyDescent="0.25">
      <c r="A190" s="76" t="s">
        <v>815</v>
      </c>
      <c r="B190" s="31"/>
      <c r="C190" s="31"/>
      <c r="D190" s="14"/>
      <c r="E190" s="15"/>
      <c r="F190" s="16"/>
      <c r="G190" s="75"/>
    </row>
    <row r="191" spans="1:7" x14ac:dyDescent="0.25">
      <c r="A191" s="76" t="s">
        <v>90</v>
      </c>
      <c r="B191" s="31"/>
      <c r="C191" s="31"/>
      <c r="D191" s="14"/>
      <c r="E191" s="37" t="s">
        <v>85</v>
      </c>
      <c r="F191" s="38" t="s">
        <v>85</v>
      </c>
      <c r="G191" s="75"/>
    </row>
    <row r="192" spans="1:7" x14ac:dyDescent="0.25">
      <c r="A192" s="78" t="s">
        <v>93</v>
      </c>
      <c r="B192" s="79"/>
      <c r="C192" s="79"/>
      <c r="D192" s="80"/>
      <c r="E192" s="28">
        <v>443994.45</v>
      </c>
      <c r="F192" s="29">
        <v>0.71619999999999995</v>
      </c>
      <c r="G192" s="77"/>
    </row>
    <row r="193" spans="1:7" x14ac:dyDescent="0.25">
      <c r="A193" s="74"/>
      <c r="B193" s="31"/>
      <c r="C193" s="31"/>
      <c r="D193" s="14"/>
      <c r="E193" s="15"/>
      <c r="F193" s="16"/>
      <c r="G193" s="75"/>
    </row>
    <row r="194" spans="1:7" x14ac:dyDescent="0.25">
      <c r="A194" s="76" t="s">
        <v>816</v>
      </c>
      <c r="B194" s="31"/>
      <c r="C194" s="31"/>
      <c r="D194" s="14"/>
      <c r="E194" s="15"/>
      <c r="F194" s="16"/>
      <c r="G194" s="75"/>
    </row>
    <row r="195" spans="1:7" x14ac:dyDescent="0.25">
      <c r="A195" s="76" t="s">
        <v>817</v>
      </c>
      <c r="B195" s="31"/>
      <c r="C195" s="31"/>
      <c r="D195" s="14"/>
      <c r="E195" s="15"/>
      <c r="F195" s="16"/>
      <c r="G195" s="75"/>
    </row>
    <row r="196" spans="1:7" x14ac:dyDescent="0.25">
      <c r="A196" s="74" t="s">
        <v>818</v>
      </c>
      <c r="B196" s="31"/>
      <c r="C196" s="31"/>
      <c r="D196" s="39">
        <v>-4400</v>
      </c>
      <c r="E196" s="24">
        <v>-30.88</v>
      </c>
      <c r="F196" s="25">
        <v>-4.8999999999999998E-5</v>
      </c>
      <c r="G196" s="75"/>
    </row>
    <row r="197" spans="1:7" x14ac:dyDescent="0.25">
      <c r="A197" s="74" t="s">
        <v>819</v>
      </c>
      <c r="B197" s="31"/>
      <c r="C197" s="31"/>
      <c r="D197" s="39">
        <v>-800</v>
      </c>
      <c r="E197" s="24">
        <v>-40.93</v>
      </c>
      <c r="F197" s="25">
        <v>-6.6000000000000005E-5</v>
      </c>
      <c r="G197" s="75"/>
    </row>
    <row r="198" spans="1:7" x14ac:dyDescent="0.25">
      <c r="A198" s="74" t="s">
        <v>820</v>
      </c>
      <c r="B198" s="31"/>
      <c r="C198" s="31"/>
      <c r="D198" s="39">
        <v>-1750</v>
      </c>
      <c r="E198" s="24">
        <v>-43.14</v>
      </c>
      <c r="F198" s="25">
        <v>-6.8999999999999997E-5</v>
      </c>
      <c r="G198" s="75"/>
    </row>
    <row r="199" spans="1:7" x14ac:dyDescent="0.25">
      <c r="A199" s="74" t="s">
        <v>821</v>
      </c>
      <c r="B199" s="31"/>
      <c r="C199" s="31"/>
      <c r="D199" s="39">
        <v>-2400</v>
      </c>
      <c r="E199" s="24">
        <v>-57.08</v>
      </c>
      <c r="F199" s="25">
        <v>-9.2E-5</v>
      </c>
      <c r="G199" s="75"/>
    </row>
    <row r="200" spans="1:7" x14ac:dyDescent="0.25">
      <c r="A200" s="74" t="s">
        <v>822</v>
      </c>
      <c r="B200" s="31"/>
      <c r="C200" s="31"/>
      <c r="D200" s="39">
        <v>-13000</v>
      </c>
      <c r="E200" s="24">
        <v>-59.53</v>
      </c>
      <c r="F200" s="25">
        <v>-9.6000000000000002E-5</v>
      </c>
      <c r="G200" s="75"/>
    </row>
    <row r="201" spans="1:7" x14ac:dyDescent="0.25">
      <c r="A201" s="74" t="s">
        <v>823</v>
      </c>
      <c r="B201" s="31"/>
      <c r="C201" s="31"/>
      <c r="D201" s="39">
        <v>-3150</v>
      </c>
      <c r="E201" s="24">
        <v>-97.57</v>
      </c>
      <c r="F201" s="25">
        <v>-1.5699999999999999E-4</v>
      </c>
      <c r="G201" s="75"/>
    </row>
    <row r="202" spans="1:7" x14ac:dyDescent="0.25">
      <c r="A202" s="74" t="s">
        <v>824</v>
      </c>
      <c r="B202" s="31"/>
      <c r="C202" s="31"/>
      <c r="D202" s="39">
        <v>-3150</v>
      </c>
      <c r="E202" s="24">
        <v>-129.22</v>
      </c>
      <c r="F202" s="25">
        <v>-2.0799999999999999E-4</v>
      </c>
      <c r="G202" s="75"/>
    </row>
    <row r="203" spans="1:7" x14ac:dyDescent="0.25">
      <c r="A203" s="74" t="s">
        <v>825</v>
      </c>
      <c r="B203" s="31"/>
      <c r="C203" s="31"/>
      <c r="D203" s="39">
        <v>-5500</v>
      </c>
      <c r="E203" s="24">
        <v>-153.99</v>
      </c>
      <c r="F203" s="25">
        <v>-2.4800000000000001E-4</v>
      </c>
      <c r="G203" s="75"/>
    </row>
    <row r="204" spans="1:7" x14ac:dyDescent="0.25">
      <c r="A204" s="74" t="s">
        <v>826</v>
      </c>
      <c r="B204" s="31"/>
      <c r="C204" s="31"/>
      <c r="D204" s="39">
        <v>-36800</v>
      </c>
      <c r="E204" s="24">
        <v>-163.65</v>
      </c>
      <c r="F204" s="25">
        <v>-2.6400000000000002E-4</v>
      </c>
      <c r="G204" s="75"/>
    </row>
    <row r="205" spans="1:7" x14ac:dyDescent="0.25">
      <c r="A205" s="74" t="s">
        <v>827</v>
      </c>
      <c r="B205" s="31"/>
      <c r="C205" s="31"/>
      <c r="D205" s="39">
        <v>-31250</v>
      </c>
      <c r="E205" s="24">
        <v>-168.41</v>
      </c>
      <c r="F205" s="25">
        <v>-2.7099999999999997E-4</v>
      </c>
      <c r="G205" s="75"/>
    </row>
    <row r="206" spans="1:7" x14ac:dyDescent="0.25">
      <c r="A206" s="74" t="s">
        <v>828</v>
      </c>
      <c r="B206" s="31"/>
      <c r="C206" s="31"/>
      <c r="D206" s="39">
        <v>-1050</v>
      </c>
      <c r="E206" s="24">
        <v>-185.6</v>
      </c>
      <c r="F206" s="25">
        <v>-2.99E-4</v>
      </c>
      <c r="G206" s="75"/>
    </row>
    <row r="207" spans="1:7" x14ac:dyDescent="0.25">
      <c r="A207" s="74" t="s">
        <v>829</v>
      </c>
      <c r="B207" s="31"/>
      <c r="C207" s="31"/>
      <c r="D207" s="39">
        <v>-37000</v>
      </c>
      <c r="E207" s="24">
        <v>-186.89</v>
      </c>
      <c r="F207" s="25">
        <v>-3.01E-4</v>
      </c>
      <c r="G207" s="75"/>
    </row>
    <row r="208" spans="1:7" x14ac:dyDescent="0.25">
      <c r="A208" s="74" t="s">
        <v>830</v>
      </c>
      <c r="B208" s="31"/>
      <c r="C208" s="31"/>
      <c r="D208" s="39">
        <v>-1400</v>
      </c>
      <c r="E208" s="24">
        <v>-202.54</v>
      </c>
      <c r="F208" s="25">
        <v>-3.2600000000000001E-4</v>
      </c>
      <c r="G208" s="75"/>
    </row>
    <row r="209" spans="1:7" x14ac:dyDescent="0.25">
      <c r="A209" s="74" t="s">
        <v>831</v>
      </c>
      <c r="B209" s="31"/>
      <c r="C209" s="31"/>
      <c r="D209" s="39">
        <v>-79900</v>
      </c>
      <c r="E209" s="24">
        <v>-207.78</v>
      </c>
      <c r="F209" s="25">
        <v>-3.3500000000000001E-4</v>
      </c>
      <c r="G209" s="75"/>
    </row>
    <row r="210" spans="1:7" x14ac:dyDescent="0.25">
      <c r="A210" s="74" t="s">
        <v>832</v>
      </c>
      <c r="B210" s="31"/>
      <c r="C210" s="31"/>
      <c r="D210" s="39">
        <v>-41250</v>
      </c>
      <c r="E210" s="24">
        <v>-208.42</v>
      </c>
      <c r="F210" s="25">
        <v>-3.3599999999999998E-4</v>
      </c>
      <c r="G210" s="75"/>
    </row>
    <row r="211" spans="1:7" x14ac:dyDescent="0.25">
      <c r="A211" s="74" t="s">
        <v>833</v>
      </c>
      <c r="B211" s="31"/>
      <c r="C211" s="31"/>
      <c r="D211" s="39">
        <v>-113400</v>
      </c>
      <c r="E211" s="24">
        <v>-208.83</v>
      </c>
      <c r="F211" s="25">
        <v>-3.3599999999999998E-4</v>
      </c>
      <c r="G211" s="75"/>
    </row>
    <row r="212" spans="1:7" x14ac:dyDescent="0.25">
      <c r="A212" s="74" t="s">
        <v>834</v>
      </c>
      <c r="B212" s="31"/>
      <c r="C212" s="31"/>
      <c r="D212" s="39">
        <v>-28600</v>
      </c>
      <c r="E212" s="24">
        <v>-216.13</v>
      </c>
      <c r="F212" s="25">
        <v>-3.48E-4</v>
      </c>
      <c r="G212" s="75"/>
    </row>
    <row r="213" spans="1:7" x14ac:dyDescent="0.25">
      <c r="A213" s="74" t="s">
        <v>835</v>
      </c>
      <c r="B213" s="31"/>
      <c r="C213" s="31"/>
      <c r="D213" s="39">
        <v>-624000</v>
      </c>
      <c r="E213" s="24">
        <v>-228.07</v>
      </c>
      <c r="F213" s="25">
        <v>-3.68E-4</v>
      </c>
      <c r="G213" s="75"/>
    </row>
    <row r="214" spans="1:7" x14ac:dyDescent="0.25">
      <c r="A214" s="74" t="s">
        <v>836</v>
      </c>
      <c r="B214" s="31"/>
      <c r="C214" s="31"/>
      <c r="D214" s="39">
        <v>-5200</v>
      </c>
      <c r="E214" s="24">
        <v>-230.34</v>
      </c>
      <c r="F214" s="25">
        <v>-3.7100000000000002E-4</v>
      </c>
      <c r="G214" s="75"/>
    </row>
    <row r="215" spans="1:7" x14ac:dyDescent="0.25">
      <c r="A215" s="74" t="s">
        <v>837</v>
      </c>
      <c r="B215" s="31"/>
      <c r="C215" s="31"/>
      <c r="D215" s="39">
        <v>-54000</v>
      </c>
      <c r="E215" s="24">
        <v>-267.02999999999997</v>
      </c>
      <c r="F215" s="25">
        <v>-4.2999999999999999E-4</v>
      </c>
      <c r="G215" s="75"/>
    </row>
    <row r="216" spans="1:7" x14ac:dyDescent="0.25">
      <c r="A216" s="74" t="s">
        <v>838</v>
      </c>
      <c r="B216" s="31"/>
      <c r="C216" s="31"/>
      <c r="D216" s="39">
        <v>-45050</v>
      </c>
      <c r="E216" s="24">
        <v>-270.75</v>
      </c>
      <c r="F216" s="25">
        <v>-4.3600000000000003E-4</v>
      </c>
      <c r="G216" s="75"/>
    </row>
    <row r="217" spans="1:7" x14ac:dyDescent="0.25">
      <c r="A217" s="74" t="s">
        <v>839</v>
      </c>
      <c r="B217" s="31"/>
      <c r="C217" s="31"/>
      <c r="D217" s="39">
        <v>-210800</v>
      </c>
      <c r="E217" s="24">
        <v>-273.08999999999997</v>
      </c>
      <c r="F217" s="25">
        <v>-4.4000000000000002E-4</v>
      </c>
      <c r="G217" s="75"/>
    </row>
    <row r="218" spans="1:7" x14ac:dyDescent="0.25">
      <c r="A218" s="74" t="s">
        <v>840</v>
      </c>
      <c r="B218" s="31"/>
      <c r="C218" s="31"/>
      <c r="D218" s="39">
        <v>-13250</v>
      </c>
      <c r="E218" s="24">
        <v>-284.93</v>
      </c>
      <c r="F218" s="25">
        <v>-4.5899999999999999E-4</v>
      </c>
      <c r="G218" s="75"/>
    </row>
    <row r="219" spans="1:7" x14ac:dyDescent="0.25">
      <c r="A219" s="74" t="s">
        <v>841</v>
      </c>
      <c r="B219" s="31"/>
      <c r="C219" s="31"/>
      <c r="D219" s="39">
        <v>-77000</v>
      </c>
      <c r="E219" s="24">
        <v>-288.25</v>
      </c>
      <c r="F219" s="25">
        <v>-4.6500000000000003E-4</v>
      </c>
      <c r="G219" s="75"/>
    </row>
    <row r="220" spans="1:7" x14ac:dyDescent="0.25">
      <c r="A220" s="74" t="s">
        <v>842</v>
      </c>
      <c r="B220" s="31"/>
      <c r="C220" s="31"/>
      <c r="D220" s="39">
        <v>-690</v>
      </c>
      <c r="E220" s="24">
        <v>-299.37</v>
      </c>
      <c r="F220" s="25">
        <v>-4.8299999999999998E-4</v>
      </c>
      <c r="G220" s="75"/>
    </row>
    <row r="221" spans="1:7" x14ac:dyDescent="0.25">
      <c r="A221" s="74" t="s">
        <v>843</v>
      </c>
      <c r="B221" s="31"/>
      <c r="C221" s="31"/>
      <c r="D221" s="39">
        <v>-7125</v>
      </c>
      <c r="E221" s="24">
        <v>-311.8</v>
      </c>
      <c r="F221" s="25">
        <v>-5.0299999999999997E-4</v>
      </c>
      <c r="G221" s="75"/>
    </row>
    <row r="222" spans="1:7" x14ac:dyDescent="0.25">
      <c r="A222" s="74" t="s">
        <v>844</v>
      </c>
      <c r="B222" s="31"/>
      <c r="C222" s="31"/>
      <c r="D222" s="39">
        <v>-33150</v>
      </c>
      <c r="E222" s="24">
        <v>-317.93</v>
      </c>
      <c r="F222" s="25">
        <v>-5.13E-4</v>
      </c>
      <c r="G222" s="75"/>
    </row>
    <row r="223" spans="1:7" x14ac:dyDescent="0.25">
      <c r="A223" s="74" t="s">
        <v>845</v>
      </c>
      <c r="B223" s="31"/>
      <c r="C223" s="31"/>
      <c r="D223" s="39">
        <v>-13750</v>
      </c>
      <c r="E223" s="24">
        <v>-326.5</v>
      </c>
      <c r="F223" s="25">
        <v>-5.2599999999999999E-4</v>
      </c>
      <c r="G223" s="75"/>
    </row>
    <row r="224" spans="1:7" x14ac:dyDescent="0.25">
      <c r="A224" s="74" t="s">
        <v>846</v>
      </c>
      <c r="B224" s="31"/>
      <c r="C224" s="31"/>
      <c r="D224" s="39">
        <v>-96000</v>
      </c>
      <c r="E224" s="24">
        <v>-336.14</v>
      </c>
      <c r="F224" s="25">
        <v>-5.4199999999999995E-4</v>
      </c>
      <c r="G224" s="75"/>
    </row>
    <row r="225" spans="1:7" x14ac:dyDescent="0.25">
      <c r="A225" s="74" t="s">
        <v>847</v>
      </c>
      <c r="B225" s="31"/>
      <c r="C225" s="31"/>
      <c r="D225" s="39">
        <v>-14175</v>
      </c>
      <c r="E225" s="24">
        <v>-346.47</v>
      </c>
      <c r="F225" s="25">
        <v>-5.5900000000000004E-4</v>
      </c>
      <c r="G225" s="75"/>
    </row>
    <row r="226" spans="1:7" x14ac:dyDescent="0.25">
      <c r="A226" s="74" t="s">
        <v>848</v>
      </c>
      <c r="B226" s="31"/>
      <c r="C226" s="31"/>
      <c r="D226" s="39">
        <v>-26350</v>
      </c>
      <c r="E226" s="24">
        <v>-351.57</v>
      </c>
      <c r="F226" s="25">
        <v>-5.6700000000000001E-4</v>
      </c>
      <c r="G226" s="75"/>
    </row>
    <row r="227" spans="1:7" x14ac:dyDescent="0.25">
      <c r="A227" s="74" t="s">
        <v>849</v>
      </c>
      <c r="B227" s="31"/>
      <c r="C227" s="31"/>
      <c r="D227" s="39">
        <v>-299000</v>
      </c>
      <c r="E227" s="24">
        <v>-357.9</v>
      </c>
      <c r="F227" s="25">
        <v>-5.7700000000000004E-4</v>
      </c>
      <c r="G227" s="75"/>
    </row>
    <row r="228" spans="1:7" x14ac:dyDescent="0.25">
      <c r="A228" s="74" t="s">
        <v>850</v>
      </c>
      <c r="B228" s="31"/>
      <c r="C228" s="31"/>
      <c r="D228" s="39">
        <v>-45625</v>
      </c>
      <c r="E228" s="24">
        <v>-366.14</v>
      </c>
      <c r="F228" s="25">
        <v>-5.9000000000000003E-4</v>
      </c>
      <c r="G228" s="75"/>
    </row>
    <row r="229" spans="1:7" x14ac:dyDescent="0.25">
      <c r="A229" s="74" t="s">
        <v>851</v>
      </c>
      <c r="B229" s="31"/>
      <c r="C229" s="31"/>
      <c r="D229" s="39">
        <v>-97900</v>
      </c>
      <c r="E229" s="24">
        <v>-366.93</v>
      </c>
      <c r="F229" s="25">
        <v>-5.9199999999999997E-4</v>
      </c>
      <c r="G229" s="75"/>
    </row>
    <row r="230" spans="1:7" x14ac:dyDescent="0.25">
      <c r="A230" s="74" t="s">
        <v>852</v>
      </c>
      <c r="B230" s="31"/>
      <c r="C230" s="31"/>
      <c r="D230" s="39">
        <v>-49950</v>
      </c>
      <c r="E230" s="24">
        <v>-368.18</v>
      </c>
      <c r="F230" s="25">
        <v>-5.9400000000000002E-4</v>
      </c>
      <c r="G230" s="75"/>
    </row>
    <row r="231" spans="1:7" x14ac:dyDescent="0.25">
      <c r="A231" s="74" t="s">
        <v>853</v>
      </c>
      <c r="B231" s="31"/>
      <c r="C231" s="31"/>
      <c r="D231" s="39">
        <v>-331100</v>
      </c>
      <c r="E231" s="24">
        <v>-379.11</v>
      </c>
      <c r="F231" s="25">
        <v>-6.11E-4</v>
      </c>
      <c r="G231" s="75"/>
    </row>
    <row r="232" spans="1:7" x14ac:dyDescent="0.25">
      <c r="A232" s="74" t="s">
        <v>854</v>
      </c>
      <c r="B232" s="31"/>
      <c r="C232" s="31"/>
      <c r="D232" s="39">
        <v>-46900</v>
      </c>
      <c r="E232" s="24">
        <v>-379.8</v>
      </c>
      <c r="F232" s="25">
        <v>-6.1200000000000002E-4</v>
      </c>
      <c r="G232" s="75"/>
    </row>
    <row r="233" spans="1:7" x14ac:dyDescent="0.25">
      <c r="A233" s="74" t="s">
        <v>855</v>
      </c>
      <c r="B233" s="31"/>
      <c r="C233" s="31"/>
      <c r="D233" s="39">
        <v>-200000</v>
      </c>
      <c r="E233" s="24">
        <v>-390.6</v>
      </c>
      <c r="F233" s="25">
        <v>-6.3000000000000003E-4</v>
      </c>
      <c r="G233" s="75"/>
    </row>
    <row r="234" spans="1:7" x14ac:dyDescent="0.25">
      <c r="A234" s="74" t="s">
        <v>856</v>
      </c>
      <c r="B234" s="31"/>
      <c r="C234" s="31"/>
      <c r="D234" s="39">
        <v>-8400</v>
      </c>
      <c r="E234" s="24">
        <v>-401.94</v>
      </c>
      <c r="F234" s="25">
        <v>-6.4800000000000003E-4</v>
      </c>
      <c r="G234" s="75"/>
    </row>
    <row r="235" spans="1:7" x14ac:dyDescent="0.25">
      <c r="A235" s="74" t="s">
        <v>857</v>
      </c>
      <c r="B235" s="31"/>
      <c r="C235" s="31"/>
      <c r="D235" s="39">
        <v>-2350</v>
      </c>
      <c r="E235" s="24">
        <v>-403.04</v>
      </c>
      <c r="F235" s="25">
        <v>-6.4999999999999997E-4</v>
      </c>
      <c r="G235" s="75"/>
    </row>
    <row r="236" spans="1:7" x14ac:dyDescent="0.25">
      <c r="A236" s="74" t="s">
        <v>858</v>
      </c>
      <c r="B236" s="31"/>
      <c r="C236" s="31"/>
      <c r="D236" s="39">
        <v>-210000</v>
      </c>
      <c r="E236" s="24">
        <v>-408.24</v>
      </c>
      <c r="F236" s="25">
        <v>-6.5799999999999995E-4</v>
      </c>
      <c r="G236" s="75"/>
    </row>
    <row r="237" spans="1:7" x14ac:dyDescent="0.25">
      <c r="A237" s="74" t="s">
        <v>859</v>
      </c>
      <c r="B237" s="31"/>
      <c r="C237" s="31"/>
      <c r="D237" s="39">
        <v>-9125</v>
      </c>
      <c r="E237" s="24">
        <v>-413.96</v>
      </c>
      <c r="F237" s="25">
        <v>-6.6799999999999997E-4</v>
      </c>
      <c r="G237" s="75"/>
    </row>
    <row r="238" spans="1:7" x14ac:dyDescent="0.25">
      <c r="A238" s="74" t="s">
        <v>860</v>
      </c>
      <c r="B238" s="31"/>
      <c r="C238" s="31"/>
      <c r="D238" s="39">
        <v>-56025</v>
      </c>
      <c r="E238" s="24">
        <v>-438.17</v>
      </c>
      <c r="F238" s="25">
        <v>-7.0699999999999995E-4</v>
      </c>
      <c r="G238" s="75"/>
    </row>
    <row r="239" spans="1:7" x14ac:dyDescent="0.25">
      <c r="A239" s="74" t="s">
        <v>861</v>
      </c>
      <c r="B239" s="31"/>
      <c r="C239" s="31"/>
      <c r="D239" s="39">
        <v>-300300</v>
      </c>
      <c r="E239" s="24">
        <v>-495.04</v>
      </c>
      <c r="F239" s="25">
        <v>-7.9799999999999999E-4</v>
      </c>
      <c r="G239" s="75"/>
    </row>
    <row r="240" spans="1:7" x14ac:dyDescent="0.25">
      <c r="A240" s="74" t="s">
        <v>862</v>
      </c>
      <c r="B240" s="31"/>
      <c r="C240" s="31"/>
      <c r="D240" s="39">
        <v>-54600</v>
      </c>
      <c r="E240" s="24">
        <v>-500.44</v>
      </c>
      <c r="F240" s="25">
        <v>-8.0699999999999999E-4</v>
      </c>
      <c r="G240" s="75"/>
    </row>
    <row r="241" spans="1:7" x14ac:dyDescent="0.25">
      <c r="A241" s="74" t="s">
        <v>863</v>
      </c>
      <c r="B241" s="31"/>
      <c r="C241" s="31"/>
      <c r="D241" s="39">
        <v>-53250</v>
      </c>
      <c r="E241" s="24">
        <v>-504.44</v>
      </c>
      <c r="F241" s="25">
        <v>-8.1400000000000005E-4</v>
      </c>
      <c r="G241" s="75"/>
    </row>
    <row r="242" spans="1:7" x14ac:dyDescent="0.25">
      <c r="A242" s="74" t="s">
        <v>864</v>
      </c>
      <c r="B242" s="31"/>
      <c r="C242" s="31"/>
      <c r="D242" s="39">
        <v>-54600</v>
      </c>
      <c r="E242" s="24">
        <v>-514.33000000000004</v>
      </c>
      <c r="F242" s="25">
        <v>-8.3000000000000001E-4</v>
      </c>
      <c r="G242" s="75"/>
    </row>
    <row r="243" spans="1:7" x14ac:dyDescent="0.25">
      <c r="A243" s="74" t="s">
        <v>865</v>
      </c>
      <c r="B243" s="31"/>
      <c r="C243" s="31"/>
      <c r="D243" s="39">
        <v>-123000</v>
      </c>
      <c r="E243" s="24">
        <v>-521.58000000000004</v>
      </c>
      <c r="F243" s="25">
        <v>-8.4099999999999995E-4</v>
      </c>
      <c r="G243" s="75"/>
    </row>
    <row r="244" spans="1:7" x14ac:dyDescent="0.25">
      <c r="A244" s="74" t="s">
        <v>866</v>
      </c>
      <c r="B244" s="31"/>
      <c r="C244" s="31"/>
      <c r="D244" s="39">
        <v>-21750</v>
      </c>
      <c r="E244" s="24">
        <v>-554.54</v>
      </c>
      <c r="F244" s="25">
        <v>-8.9400000000000005E-4</v>
      </c>
      <c r="G244" s="75"/>
    </row>
    <row r="245" spans="1:7" x14ac:dyDescent="0.25">
      <c r="A245" s="74" t="s">
        <v>867</v>
      </c>
      <c r="B245" s="31"/>
      <c r="C245" s="31"/>
      <c r="D245" s="39">
        <v>-54450</v>
      </c>
      <c r="E245" s="24">
        <v>-565.33000000000004</v>
      </c>
      <c r="F245" s="25">
        <v>-9.1200000000000005E-4</v>
      </c>
      <c r="G245" s="75"/>
    </row>
    <row r="246" spans="1:7" x14ac:dyDescent="0.25">
      <c r="A246" s="74" t="s">
        <v>868</v>
      </c>
      <c r="B246" s="31"/>
      <c r="C246" s="31"/>
      <c r="D246" s="39">
        <v>-88500</v>
      </c>
      <c r="E246" s="24">
        <v>-595.25</v>
      </c>
      <c r="F246" s="25">
        <v>-9.6000000000000002E-4</v>
      </c>
      <c r="G246" s="75"/>
    </row>
    <row r="247" spans="1:7" x14ac:dyDescent="0.25">
      <c r="A247" s="74" t="s">
        <v>869</v>
      </c>
      <c r="B247" s="31"/>
      <c r="C247" s="31"/>
      <c r="D247" s="39">
        <v>-48000</v>
      </c>
      <c r="E247" s="24">
        <v>-601.78</v>
      </c>
      <c r="F247" s="25">
        <v>-9.7099999999999997E-4</v>
      </c>
      <c r="G247" s="75"/>
    </row>
    <row r="248" spans="1:7" x14ac:dyDescent="0.25">
      <c r="A248" s="74" t="s">
        <v>870</v>
      </c>
      <c r="B248" s="31"/>
      <c r="C248" s="31"/>
      <c r="D248" s="39">
        <v>-282649</v>
      </c>
      <c r="E248" s="24">
        <v>-615.61</v>
      </c>
      <c r="F248" s="25">
        <v>-9.9299999999999996E-4</v>
      </c>
      <c r="G248" s="75"/>
    </row>
    <row r="249" spans="1:7" x14ac:dyDescent="0.25">
      <c r="A249" s="74" t="s">
        <v>871</v>
      </c>
      <c r="B249" s="31"/>
      <c r="C249" s="31"/>
      <c r="D249" s="39">
        <v>-185400</v>
      </c>
      <c r="E249" s="24">
        <v>-647.32000000000005</v>
      </c>
      <c r="F249" s="25">
        <v>-1.044E-3</v>
      </c>
      <c r="G249" s="75"/>
    </row>
    <row r="250" spans="1:7" x14ac:dyDescent="0.25">
      <c r="A250" s="74" t="s">
        <v>872</v>
      </c>
      <c r="B250" s="31"/>
      <c r="C250" s="31"/>
      <c r="D250" s="39">
        <v>-86800</v>
      </c>
      <c r="E250" s="24">
        <v>-647.48</v>
      </c>
      <c r="F250" s="25">
        <v>-1.044E-3</v>
      </c>
      <c r="G250" s="75"/>
    </row>
    <row r="251" spans="1:7" x14ac:dyDescent="0.25">
      <c r="A251" s="74" t="s">
        <v>873</v>
      </c>
      <c r="B251" s="31"/>
      <c r="C251" s="31"/>
      <c r="D251" s="39">
        <v>-151050</v>
      </c>
      <c r="E251" s="24">
        <v>-658.88</v>
      </c>
      <c r="F251" s="25">
        <v>-1.0629999999999999E-3</v>
      </c>
      <c r="G251" s="75"/>
    </row>
    <row r="252" spans="1:7" x14ac:dyDescent="0.25">
      <c r="A252" s="74" t="s">
        <v>874</v>
      </c>
      <c r="B252" s="31"/>
      <c r="C252" s="31"/>
      <c r="D252" s="39">
        <v>-47250</v>
      </c>
      <c r="E252" s="24">
        <v>-709.36</v>
      </c>
      <c r="F252" s="25">
        <v>-1.1440000000000001E-3</v>
      </c>
      <c r="G252" s="75"/>
    </row>
    <row r="253" spans="1:7" x14ac:dyDescent="0.25">
      <c r="A253" s="74" t="s">
        <v>875</v>
      </c>
      <c r="B253" s="31"/>
      <c r="C253" s="31"/>
      <c r="D253" s="39">
        <v>-339300</v>
      </c>
      <c r="E253" s="24">
        <v>-715.24</v>
      </c>
      <c r="F253" s="25">
        <v>-1.1540000000000001E-3</v>
      </c>
      <c r="G253" s="75"/>
    </row>
    <row r="254" spans="1:7" x14ac:dyDescent="0.25">
      <c r="A254" s="74" t="s">
        <v>876</v>
      </c>
      <c r="B254" s="31"/>
      <c r="C254" s="31"/>
      <c r="D254" s="39">
        <v>-616500</v>
      </c>
      <c r="E254" s="24">
        <v>-726.85</v>
      </c>
      <c r="F254" s="25">
        <v>-1.1720000000000001E-3</v>
      </c>
      <c r="G254" s="75"/>
    </row>
    <row r="255" spans="1:7" x14ac:dyDescent="0.25">
      <c r="A255" s="74" t="s">
        <v>877</v>
      </c>
      <c r="B255" s="31"/>
      <c r="C255" s="31"/>
      <c r="D255" s="39">
        <v>-34500</v>
      </c>
      <c r="E255" s="24">
        <v>-727.33</v>
      </c>
      <c r="F255" s="25">
        <v>-1.173E-3</v>
      </c>
      <c r="G255" s="75"/>
    </row>
    <row r="256" spans="1:7" x14ac:dyDescent="0.25">
      <c r="A256" s="74" t="s">
        <v>878</v>
      </c>
      <c r="B256" s="31"/>
      <c r="C256" s="31"/>
      <c r="D256" s="39">
        <v>-116200</v>
      </c>
      <c r="E256" s="24">
        <v>-730.55</v>
      </c>
      <c r="F256" s="25">
        <v>-1.178E-3</v>
      </c>
      <c r="G256" s="75"/>
    </row>
    <row r="257" spans="1:7" x14ac:dyDescent="0.25">
      <c r="A257" s="74" t="s">
        <v>879</v>
      </c>
      <c r="B257" s="31"/>
      <c r="C257" s="31"/>
      <c r="D257" s="39">
        <v>-17375</v>
      </c>
      <c r="E257" s="24">
        <v>-750.03</v>
      </c>
      <c r="F257" s="25">
        <v>-1.2099999999999999E-3</v>
      </c>
      <c r="G257" s="75"/>
    </row>
    <row r="258" spans="1:7" x14ac:dyDescent="0.25">
      <c r="A258" s="74" t="s">
        <v>880</v>
      </c>
      <c r="B258" s="31"/>
      <c r="C258" s="31"/>
      <c r="D258" s="39">
        <v>-37950</v>
      </c>
      <c r="E258" s="24">
        <v>-765.77</v>
      </c>
      <c r="F258" s="25">
        <v>-1.235E-3</v>
      </c>
      <c r="G258" s="75"/>
    </row>
    <row r="259" spans="1:7" x14ac:dyDescent="0.25">
      <c r="A259" s="74" t="s">
        <v>881</v>
      </c>
      <c r="B259" s="31"/>
      <c r="C259" s="31"/>
      <c r="D259" s="39">
        <v>-286200</v>
      </c>
      <c r="E259" s="24">
        <v>-774.6</v>
      </c>
      <c r="F259" s="25">
        <v>-1.25E-3</v>
      </c>
      <c r="G259" s="75"/>
    </row>
    <row r="260" spans="1:7" x14ac:dyDescent="0.25">
      <c r="A260" s="74" t="s">
        <v>882</v>
      </c>
      <c r="B260" s="31"/>
      <c r="C260" s="31"/>
      <c r="D260" s="39">
        <v>-93500</v>
      </c>
      <c r="E260" s="24">
        <v>-799.47</v>
      </c>
      <c r="F260" s="25">
        <v>-1.2899999999999999E-3</v>
      </c>
      <c r="G260" s="75"/>
    </row>
    <row r="261" spans="1:7" x14ac:dyDescent="0.25">
      <c r="A261" s="74" t="s">
        <v>883</v>
      </c>
      <c r="B261" s="31"/>
      <c r="C261" s="31"/>
      <c r="D261" s="39">
        <v>-84000</v>
      </c>
      <c r="E261" s="24">
        <v>-823.28</v>
      </c>
      <c r="F261" s="25">
        <v>-1.328E-3</v>
      </c>
      <c r="G261" s="75"/>
    </row>
    <row r="262" spans="1:7" x14ac:dyDescent="0.25">
      <c r="A262" s="74" t="s">
        <v>884</v>
      </c>
      <c r="B262" s="31"/>
      <c r="C262" s="31"/>
      <c r="D262" s="39">
        <v>-850000</v>
      </c>
      <c r="E262" s="24">
        <v>-832.15</v>
      </c>
      <c r="F262" s="25">
        <v>-1.3420000000000001E-3</v>
      </c>
      <c r="G262" s="75"/>
    </row>
    <row r="263" spans="1:7" x14ac:dyDescent="0.25">
      <c r="A263" s="74" t="s">
        <v>885</v>
      </c>
      <c r="B263" s="31"/>
      <c r="C263" s="31"/>
      <c r="D263" s="39">
        <v>-770000</v>
      </c>
      <c r="E263" s="24">
        <v>-834.3</v>
      </c>
      <c r="F263" s="25">
        <v>-1.346E-3</v>
      </c>
      <c r="G263" s="75"/>
    </row>
    <row r="264" spans="1:7" x14ac:dyDescent="0.25">
      <c r="A264" s="74" t="s">
        <v>886</v>
      </c>
      <c r="B264" s="31"/>
      <c r="C264" s="31"/>
      <c r="D264" s="39">
        <v>-65250</v>
      </c>
      <c r="E264" s="24">
        <v>-836.28</v>
      </c>
      <c r="F264" s="25">
        <v>-1.3489999999999999E-3</v>
      </c>
      <c r="G264" s="75"/>
    </row>
    <row r="265" spans="1:7" x14ac:dyDescent="0.25">
      <c r="A265" s="74" t="s">
        <v>887</v>
      </c>
      <c r="B265" s="31"/>
      <c r="C265" s="31"/>
      <c r="D265" s="39">
        <v>-33950</v>
      </c>
      <c r="E265" s="24">
        <v>-837.22</v>
      </c>
      <c r="F265" s="25">
        <v>-1.351E-3</v>
      </c>
      <c r="G265" s="75"/>
    </row>
    <row r="266" spans="1:7" x14ac:dyDescent="0.25">
      <c r="A266" s="74" t="s">
        <v>888</v>
      </c>
      <c r="B266" s="31"/>
      <c r="C266" s="31"/>
      <c r="D266" s="39">
        <v>-2295000</v>
      </c>
      <c r="E266" s="24">
        <v>-851.45</v>
      </c>
      <c r="F266" s="25">
        <v>-1.374E-3</v>
      </c>
      <c r="G266" s="75"/>
    </row>
    <row r="267" spans="1:7" x14ac:dyDescent="0.25">
      <c r="A267" s="74" t="s">
        <v>889</v>
      </c>
      <c r="B267" s="31"/>
      <c r="C267" s="31"/>
      <c r="D267" s="39">
        <v>-120000</v>
      </c>
      <c r="E267" s="24">
        <v>-867.66</v>
      </c>
      <c r="F267" s="25">
        <v>-1.4E-3</v>
      </c>
      <c r="G267" s="75"/>
    </row>
    <row r="268" spans="1:7" x14ac:dyDescent="0.25">
      <c r="A268" s="74" t="s">
        <v>890</v>
      </c>
      <c r="B268" s="31"/>
      <c r="C268" s="31"/>
      <c r="D268" s="39">
        <v>-720000</v>
      </c>
      <c r="E268" s="24">
        <v>-892.08</v>
      </c>
      <c r="F268" s="25">
        <v>-1.439E-3</v>
      </c>
      <c r="G268" s="75"/>
    </row>
    <row r="269" spans="1:7" x14ac:dyDescent="0.25">
      <c r="A269" s="74" t="s">
        <v>891</v>
      </c>
      <c r="B269" s="31"/>
      <c r="C269" s="31"/>
      <c r="D269" s="39">
        <v>-59850</v>
      </c>
      <c r="E269" s="24">
        <v>-895.18</v>
      </c>
      <c r="F269" s="25">
        <v>-1.444E-3</v>
      </c>
      <c r="G269" s="75"/>
    </row>
    <row r="270" spans="1:7" x14ac:dyDescent="0.25">
      <c r="A270" s="74" t="s">
        <v>892</v>
      </c>
      <c r="B270" s="31"/>
      <c r="C270" s="31"/>
      <c r="D270" s="39">
        <v>-14550</v>
      </c>
      <c r="E270" s="24">
        <v>-901.1</v>
      </c>
      <c r="F270" s="25">
        <v>-1.454E-3</v>
      </c>
      <c r="G270" s="75"/>
    </row>
    <row r="271" spans="1:7" x14ac:dyDescent="0.25">
      <c r="A271" s="74" t="s">
        <v>893</v>
      </c>
      <c r="B271" s="31"/>
      <c r="C271" s="31"/>
      <c r="D271" s="39">
        <v>-77700</v>
      </c>
      <c r="E271" s="24">
        <v>-907.85</v>
      </c>
      <c r="F271" s="25">
        <v>-1.4649999999999999E-3</v>
      </c>
      <c r="G271" s="75"/>
    </row>
    <row r="272" spans="1:7" x14ac:dyDescent="0.25">
      <c r="A272" s="74" t="s">
        <v>894</v>
      </c>
      <c r="B272" s="31"/>
      <c r="C272" s="31"/>
      <c r="D272" s="39">
        <v>-42400</v>
      </c>
      <c r="E272" s="24">
        <v>-909.1</v>
      </c>
      <c r="F272" s="25">
        <v>-1.467E-3</v>
      </c>
      <c r="G272" s="75"/>
    </row>
    <row r="273" spans="1:7" x14ac:dyDescent="0.25">
      <c r="A273" s="74" t="s">
        <v>895</v>
      </c>
      <c r="B273" s="31"/>
      <c r="C273" s="31"/>
      <c r="D273" s="39">
        <v>-46200</v>
      </c>
      <c r="E273" s="24">
        <v>-911.99</v>
      </c>
      <c r="F273" s="25">
        <v>-1.4710000000000001E-3</v>
      </c>
      <c r="G273" s="75"/>
    </row>
    <row r="274" spans="1:7" x14ac:dyDescent="0.25">
      <c r="A274" s="74" t="s">
        <v>896</v>
      </c>
      <c r="B274" s="31"/>
      <c r="C274" s="31"/>
      <c r="D274" s="39">
        <v>-14000</v>
      </c>
      <c r="E274" s="24">
        <v>-927.19</v>
      </c>
      <c r="F274" s="25">
        <v>-1.4959999999999999E-3</v>
      </c>
      <c r="G274" s="75"/>
    </row>
    <row r="275" spans="1:7" x14ac:dyDescent="0.25">
      <c r="A275" s="74" t="s">
        <v>897</v>
      </c>
      <c r="B275" s="31"/>
      <c r="C275" s="31"/>
      <c r="D275" s="39">
        <v>-82400</v>
      </c>
      <c r="E275" s="24">
        <v>-939.98</v>
      </c>
      <c r="F275" s="25">
        <v>-1.516E-3</v>
      </c>
      <c r="G275" s="75"/>
    </row>
    <row r="276" spans="1:7" x14ac:dyDescent="0.25">
      <c r="A276" s="74" t="s">
        <v>898</v>
      </c>
      <c r="B276" s="31"/>
      <c r="C276" s="31"/>
      <c r="D276" s="39">
        <v>-63000</v>
      </c>
      <c r="E276" s="24">
        <v>-947.77</v>
      </c>
      <c r="F276" s="25">
        <v>-1.529E-3</v>
      </c>
      <c r="G276" s="75"/>
    </row>
    <row r="277" spans="1:7" x14ac:dyDescent="0.25">
      <c r="A277" s="74" t="s">
        <v>899</v>
      </c>
      <c r="B277" s="31"/>
      <c r="C277" s="31"/>
      <c r="D277" s="39">
        <v>-64000</v>
      </c>
      <c r="E277" s="24">
        <v>-1012.48</v>
      </c>
      <c r="F277" s="25">
        <v>-1.6329999999999999E-3</v>
      </c>
      <c r="G277" s="75"/>
    </row>
    <row r="278" spans="1:7" x14ac:dyDescent="0.25">
      <c r="A278" s="74" t="s">
        <v>900</v>
      </c>
      <c r="B278" s="31"/>
      <c r="C278" s="31"/>
      <c r="D278" s="39">
        <v>-345650</v>
      </c>
      <c r="E278" s="24">
        <v>-1065.6400000000001</v>
      </c>
      <c r="F278" s="25">
        <v>-1.719E-3</v>
      </c>
      <c r="G278" s="75"/>
    </row>
    <row r="279" spans="1:7" x14ac:dyDescent="0.25">
      <c r="A279" s="74" t="s">
        <v>901</v>
      </c>
      <c r="B279" s="31"/>
      <c r="C279" s="31"/>
      <c r="D279" s="39">
        <v>-2142000</v>
      </c>
      <c r="E279" s="24">
        <v>-1065.6500000000001</v>
      </c>
      <c r="F279" s="25">
        <v>-1.719E-3</v>
      </c>
      <c r="G279" s="75"/>
    </row>
    <row r="280" spans="1:7" x14ac:dyDescent="0.25">
      <c r="A280" s="74" t="s">
        <v>902</v>
      </c>
      <c r="B280" s="31"/>
      <c r="C280" s="31"/>
      <c r="D280" s="39">
        <v>-172575</v>
      </c>
      <c r="E280" s="24">
        <v>-1091.3599999999999</v>
      </c>
      <c r="F280" s="25">
        <v>-1.761E-3</v>
      </c>
      <c r="G280" s="75"/>
    </row>
    <row r="281" spans="1:7" x14ac:dyDescent="0.25">
      <c r="A281" s="74" t="s">
        <v>903</v>
      </c>
      <c r="B281" s="31"/>
      <c r="C281" s="31"/>
      <c r="D281" s="39">
        <v>-203000</v>
      </c>
      <c r="E281" s="24">
        <v>-1095.5899999999999</v>
      </c>
      <c r="F281" s="25">
        <v>-1.768E-3</v>
      </c>
      <c r="G281" s="75"/>
    </row>
    <row r="282" spans="1:7" x14ac:dyDescent="0.25">
      <c r="A282" s="74" t="s">
        <v>904</v>
      </c>
      <c r="B282" s="31"/>
      <c r="C282" s="31"/>
      <c r="D282" s="39">
        <v>-694400</v>
      </c>
      <c r="E282" s="24">
        <v>-1103.4000000000001</v>
      </c>
      <c r="F282" s="25">
        <v>-1.7799999999999999E-3</v>
      </c>
      <c r="G282" s="75"/>
    </row>
    <row r="283" spans="1:7" x14ac:dyDescent="0.25">
      <c r="A283" s="74" t="s">
        <v>905</v>
      </c>
      <c r="B283" s="31"/>
      <c r="C283" s="31"/>
      <c r="D283" s="39">
        <v>-462530</v>
      </c>
      <c r="E283" s="24">
        <v>-1109.8399999999999</v>
      </c>
      <c r="F283" s="25">
        <v>-1.7910000000000001E-3</v>
      </c>
      <c r="G283" s="75"/>
    </row>
    <row r="284" spans="1:7" x14ac:dyDescent="0.25">
      <c r="A284" s="74" t="s">
        <v>906</v>
      </c>
      <c r="B284" s="31"/>
      <c r="C284" s="31"/>
      <c r="D284" s="39">
        <v>-31125</v>
      </c>
      <c r="E284" s="24">
        <v>-1120.6400000000001</v>
      </c>
      <c r="F284" s="25">
        <v>-1.8079999999999999E-3</v>
      </c>
      <c r="G284" s="75"/>
    </row>
    <row r="285" spans="1:7" x14ac:dyDescent="0.25">
      <c r="A285" s="74" t="s">
        <v>907</v>
      </c>
      <c r="B285" s="31"/>
      <c r="C285" s="31"/>
      <c r="D285" s="39">
        <v>-1041300</v>
      </c>
      <c r="E285" s="24">
        <v>-1169.3800000000001</v>
      </c>
      <c r="F285" s="25">
        <v>-1.887E-3</v>
      </c>
      <c r="G285" s="75"/>
    </row>
    <row r="286" spans="1:7" x14ac:dyDescent="0.25">
      <c r="A286" s="74" t="s">
        <v>908</v>
      </c>
      <c r="B286" s="31"/>
      <c r="C286" s="31"/>
      <c r="D286" s="39">
        <v>-176800</v>
      </c>
      <c r="E286" s="24">
        <v>-1194.3699999999999</v>
      </c>
      <c r="F286" s="25">
        <v>-1.9269999999999999E-3</v>
      </c>
      <c r="G286" s="75"/>
    </row>
    <row r="287" spans="1:7" x14ac:dyDescent="0.25">
      <c r="A287" s="74" t="s">
        <v>909</v>
      </c>
      <c r="B287" s="31"/>
      <c r="C287" s="31"/>
      <c r="D287" s="39">
        <v>-36050</v>
      </c>
      <c r="E287" s="24">
        <v>-1223.9000000000001</v>
      </c>
      <c r="F287" s="25">
        <v>-1.9750000000000002E-3</v>
      </c>
      <c r="G287" s="75"/>
    </row>
    <row r="288" spans="1:7" x14ac:dyDescent="0.25">
      <c r="A288" s="74" t="s">
        <v>910</v>
      </c>
      <c r="B288" s="31"/>
      <c r="C288" s="31"/>
      <c r="D288" s="39">
        <v>-917700</v>
      </c>
      <c r="E288" s="24">
        <v>-1247.1500000000001</v>
      </c>
      <c r="F288" s="25">
        <v>-2.0119999999999999E-3</v>
      </c>
      <c r="G288" s="75"/>
    </row>
    <row r="289" spans="1:7" x14ac:dyDescent="0.25">
      <c r="A289" s="74" t="s">
        <v>911</v>
      </c>
      <c r="B289" s="31"/>
      <c r="C289" s="31"/>
      <c r="D289" s="39">
        <v>-345600</v>
      </c>
      <c r="E289" s="24">
        <v>-1250.04</v>
      </c>
      <c r="F289" s="25">
        <v>-2.0170000000000001E-3</v>
      </c>
      <c r="G289" s="75"/>
    </row>
    <row r="290" spans="1:7" x14ac:dyDescent="0.25">
      <c r="A290" s="74" t="s">
        <v>912</v>
      </c>
      <c r="B290" s="31"/>
      <c r="C290" s="31"/>
      <c r="D290" s="39">
        <v>-161400</v>
      </c>
      <c r="E290" s="24">
        <v>-1264.4100000000001</v>
      </c>
      <c r="F290" s="25">
        <v>-2.0400000000000001E-3</v>
      </c>
      <c r="G290" s="75"/>
    </row>
    <row r="291" spans="1:7" x14ac:dyDescent="0.25">
      <c r="A291" s="74" t="s">
        <v>913</v>
      </c>
      <c r="B291" s="31"/>
      <c r="C291" s="31"/>
      <c r="D291" s="39">
        <v>-176000</v>
      </c>
      <c r="E291" s="24">
        <v>-1287.6199999999999</v>
      </c>
      <c r="F291" s="25">
        <v>-2.0769999999999999E-3</v>
      </c>
      <c r="G291" s="75"/>
    </row>
    <row r="292" spans="1:7" x14ac:dyDescent="0.25">
      <c r="A292" s="74" t="s">
        <v>914</v>
      </c>
      <c r="B292" s="31"/>
      <c r="C292" s="31"/>
      <c r="D292" s="39">
        <v>-221400</v>
      </c>
      <c r="E292" s="24">
        <v>-1315.01</v>
      </c>
      <c r="F292" s="25">
        <v>-2.1220000000000002E-3</v>
      </c>
      <c r="G292" s="75"/>
    </row>
    <row r="293" spans="1:7" x14ac:dyDescent="0.25">
      <c r="A293" s="74" t="s">
        <v>915</v>
      </c>
      <c r="B293" s="31"/>
      <c r="C293" s="31"/>
      <c r="D293" s="39">
        <v>-3352200</v>
      </c>
      <c r="E293" s="24">
        <v>-1339.2</v>
      </c>
      <c r="F293" s="25">
        <v>-2.1610000000000002E-3</v>
      </c>
      <c r="G293" s="75"/>
    </row>
    <row r="294" spans="1:7" x14ac:dyDescent="0.25">
      <c r="A294" s="74" t="s">
        <v>916</v>
      </c>
      <c r="B294" s="31"/>
      <c r="C294" s="31"/>
      <c r="D294" s="39">
        <v>-52375</v>
      </c>
      <c r="E294" s="24">
        <v>-1389.35</v>
      </c>
      <c r="F294" s="25">
        <v>-2.2420000000000001E-3</v>
      </c>
      <c r="G294" s="75"/>
    </row>
    <row r="295" spans="1:7" x14ac:dyDescent="0.25">
      <c r="A295" s="74" t="s">
        <v>917</v>
      </c>
      <c r="B295" s="31"/>
      <c r="C295" s="31"/>
      <c r="D295" s="39">
        <v>-125000</v>
      </c>
      <c r="E295" s="24">
        <v>-1450.25</v>
      </c>
      <c r="F295" s="25">
        <v>-2.3400000000000001E-3</v>
      </c>
      <c r="G295" s="75"/>
    </row>
    <row r="296" spans="1:7" x14ac:dyDescent="0.25">
      <c r="A296" s="74" t="s">
        <v>918</v>
      </c>
      <c r="B296" s="31"/>
      <c r="C296" s="31"/>
      <c r="D296" s="39">
        <v>-760000</v>
      </c>
      <c r="E296" s="24">
        <v>-1459.2</v>
      </c>
      <c r="F296" s="25">
        <v>-2.3540000000000002E-3</v>
      </c>
      <c r="G296" s="75"/>
    </row>
    <row r="297" spans="1:7" x14ac:dyDescent="0.25">
      <c r="A297" s="74" t="s">
        <v>919</v>
      </c>
      <c r="B297" s="31"/>
      <c r="C297" s="31"/>
      <c r="D297" s="39">
        <v>-637200</v>
      </c>
      <c r="E297" s="24">
        <v>-1459.83</v>
      </c>
      <c r="F297" s="25">
        <v>-2.3549999999999999E-3</v>
      </c>
      <c r="G297" s="75"/>
    </row>
    <row r="298" spans="1:7" x14ac:dyDescent="0.25">
      <c r="A298" s="74" t="s">
        <v>920</v>
      </c>
      <c r="B298" s="31"/>
      <c r="C298" s="31"/>
      <c r="D298" s="39">
        <v>-441600</v>
      </c>
      <c r="E298" s="24">
        <v>-1467.66</v>
      </c>
      <c r="F298" s="25">
        <v>-2.3679999999999999E-3</v>
      </c>
      <c r="G298" s="75"/>
    </row>
    <row r="299" spans="1:7" x14ac:dyDescent="0.25">
      <c r="A299" s="74" t="s">
        <v>921</v>
      </c>
      <c r="B299" s="31"/>
      <c r="C299" s="31"/>
      <c r="D299" s="39">
        <v>-422400</v>
      </c>
      <c r="E299" s="24">
        <v>-1480.51</v>
      </c>
      <c r="F299" s="25">
        <v>-2.3890000000000001E-3</v>
      </c>
      <c r="G299" s="75"/>
    </row>
    <row r="300" spans="1:7" x14ac:dyDescent="0.25">
      <c r="A300" s="74" t="s">
        <v>922</v>
      </c>
      <c r="B300" s="31"/>
      <c r="C300" s="31"/>
      <c r="D300" s="39">
        <v>-672000</v>
      </c>
      <c r="E300" s="24">
        <v>-1501.58</v>
      </c>
      <c r="F300" s="25">
        <v>-2.4229999999999998E-3</v>
      </c>
      <c r="G300" s="75"/>
    </row>
    <row r="301" spans="1:7" x14ac:dyDescent="0.25">
      <c r="A301" s="74" t="s">
        <v>923</v>
      </c>
      <c r="B301" s="31"/>
      <c r="C301" s="31"/>
      <c r="D301" s="39">
        <v>-6225</v>
      </c>
      <c r="E301" s="24">
        <v>-1501.75</v>
      </c>
      <c r="F301" s="25">
        <v>-2.4229999999999998E-3</v>
      </c>
      <c r="G301" s="75"/>
    </row>
    <row r="302" spans="1:7" x14ac:dyDescent="0.25">
      <c r="A302" s="74" t="s">
        <v>924</v>
      </c>
      <c r="B302" s="31"/>
      <c r="C302" s="31"/>
      <c r="D302" s="39">
        <v>-196350</v>
      </c>
      <c r="E302" s="24">
        <v>-1509.74</v>
      </c>
      <c r="F302" s="25">
        <v>-2.4359999999999998E-3</v>
      </c>
      <c r="G302" s="75"/>
    </row>
    <row r="303" spans="1:7" x14ac:dyDescent="0.25">
      <c r="A303" s="74" t="s">
        <v>925</v>
      </c>
      <c r="B303" s="31"/>
      <c r="C303" s="31"/>
      <c r="D303" s="39">
        <v>-33625</v>
      </c>
      <c r="E303" s="24">
        <v>-1527.42</v>
      </c>
      <c r="F303" s="25">
        <v>-2.464E-3</v>
      </c>
      <c r="G303" s="75"/>
    </row>
    <row r="304" spans="1:7" x14ac:dyDescent="0.25">
      <c r="A304" s="74" t="s">
        <v>926</v>
      </c>
      <c r="B304" s="31"/>
      <c r="C304" s="31"/>
      <c r="D304" s="39">
        <v>-1368000</v>
      </c>
      <c r="E304" s="24">
        <v>-1560.2</v>
      </c>
      <c r="F304" s="25">
        <v>-2.5170000000000001E-3</v>
      </c>
      <c r="G304" s="75"/>
    </row>
    <row r="305" spans="1:7" x14ac:dyDescent="0.25">
      <c r="A305" s="74" t="s">
        <v>927</v>
      </c>
      <c r="B305" s="31"/>
      <c r="C305" s="31"/>
      <c r="D305" s="39">
        <v>-976000</v>
      </c>
      <c r="E305" s="24">
        <v>-1562.58</v>
      </c>
      <c r="F305" s="25">
        <v>-2.5209999999999998E-3</v>
      </c>
      <c r="G305" s="75"/>
    </row>
    <row r="306" spans="1:7" x14ac:dyDescent="0.25">
      <c r="A306" s="74" t="s">
        <v>928</v>
      </c>
      <c r="B306" s="31"/>
      <c r="C306" s="31"/>
      <c r="D306" s="39">
        <v>-69600</v>
      </c>
      <c r="E306" s="24">
        <v>-1606.54</v>
      </c>
      <c r="F306" s="25">
        <v>-2.5920000000000001E-3</v>
      </c>
      <c r="G306" s="75"/>
    </row>
    <row r="307" spans="1:7" x14ac:dyDescent="0.25">
      <c r="A307" s="74" t="s">
        <v>929</v>
      </c>
      <c r="B307" s="31"/>
      <c r="C307" s="31"/>
      <c r="D307" s="39">
        <v>-476100</v>
      </c>
      <c r="E307" s="24">
        <v>-1607.79</v>
      </c>
      <c r="F307" s="25">
        <v>-2.594E-3</v>
      </c>
      <c r="G307" s="75"/>
    </row>
    <row r="308" spans="1:7" x14ac:dyDescent="0.25">
      <c r="A308" s="74" t="s">
        <v>930</v>
      </c>
      <c r="B308" s="31"/>
      <c r="C308" s="31"/>
      <c r="D308" s="39">
        <v>-214500</v>
      </c>
      <c r="E308" s="24">
        <v>-1661.2</v>
      </c>
      <c r="F308" s="25">
        <v>-2.6800000000000001E-3</v>
      </c>
      <c r="G308" s="75"/>
    </row>
    <row r="309" spans="1:7" x14ac:dyDescent="0.25">
      <c r="A309" s="74" t="s">
        <v>931</v>
      </c>
      <c r="B309" s="31"/>
      <c r="C309" s="31"/>
      <c r="D309" s="39">
        <v>-46800</v>
      </c>
      <c r="E309" s="24">
        <v>-1756.54</v>
      </c>
      <c r="F309" s="25">
        <v>-2.8340000000000001E-3</v>
      </c>
      <c r="G309" s="75"/>
    </row>
    <row r="310" spans="1:7" x14ac:dyDescent="0.25">
      <c r="A310" s="74" t="s">
        <v>932</v>
      </c>
      <c r="B310" s="31"/>
      <c r="C310" s="31"/>
      <c r="D310" s="39">
        <v>-23500</v>
      </c>
      <c r="E310" s="24">
        <v>-1785.68</v>
      </c>
      <c r="F310" s="25">
        <v>-2.8809999999999999E-3</v>
      </c>
      <c r="G310" s="75"/>
    </row>
    <row r="311" spans="1:7" x14ac:dyDescent="0.25">
      <c r="A311" s="74" t="s">
        <v>933</v>
      </c>
      <c r="B311" s="31"/>
      <c r="C311" s="31"/>
      <c r="D311" s="39">
        <v>-335000</v>
      </c>
      <c r="E311" s="24">
        <v>-1790.91</v>
      </c>
      <c r="F311" s="25">
        <v>-2.8900000000000002E-3</v>
      </c>
      <c r="G311" s="75"/>
    </row>
    <row r="312" spans="1:7" x14ac:dyDescent="0.25">
      <c r="A312" s="74" t="s">
        <v>934</v>
      </c>
      <c r="B312" s="31"/>
      <c r="C312" s="31"/>
      <c r="D312" s="39">
        <v>-88500</v>
      </c>
      <c r="E312" s="24">
        <v>-1792.39</v>
      </c>
      <c r="F312" s="25">
        <v>-2.892E-3</v>
      </c>
      <c r="G312" s="75"/>
    </row>
    <row r="313" spans="1:7" x14ac:dyDescent="0.25">
      <c r="A313" s="74" t="s">
        <v>935</v>
      </c>
      <c r="B313" s="31"/>
      <c r="C313" s="31"/>
      <c r="D313" s="39">
        <v>-239700</v>
      </c>
      <c r="E313" s="24">
        <v>-1796.67</v>
      </c>
      <c r="F313" s="25">
        <v>-2.8990000000000001E-3</v>
      </c>
      <c r="G313" s="75"/>
    </row>
    <row r="314" spans="1:7" x14ac:dyDescent="0.25">
      <c r="A314" s="74" t="s">
        <v>936</v>
      </c>
      <c r="B314" s="31"/>
      <c r="C314" s="31"/>
      <c r="D314" s="39">
        <v>-1427400</v>
      </c>
      <c r="E314" s="24">
        <v>-1797.1</v>
      </c>
      <c r="F314" s="25">
        <v>-2.8999999999999998E-3</v>
      </c>
      <c r="G314" s="75"/>
    </row>
    <row r="315" spans="1:7" x14ac:dyDescent="0.25">
      <c r="A315" s="74" t="s">
        <v>937</v>
      </c>
      <c r="B315" s="31"/>
      <c r="C315" s="31"/>
      <c r="D315" s="39">
        <v>-88800</v>
      </c>
      <c r="E315" s="24">
        <v>-1811.65</v>
      </c>
      <c r="F315" s="25">
        <v>-2.9229999999999998E-3</v>
      </c>
      <c r="G315" s="75"/>
    </row>
    <row r="316" spans="1:7" x14ac:dyDescent="0.25">
      <c r="A316" s="74" t="s">
        <v>938</v>
      </c>
      <c r="B316" s="31"/>
      <c r="C316" s="31"/>
      <c r="D316" s="39">
        <v>-1216800</v>
      </c>
      <c r="E316" s="24">
        <v>-1848.93</v>
      </c>
      <c r="F316" s="25">
        <v>-2.983E-3</v>
      </c>
      <c r="G316" s="75"/>
    </row>
    <row r="317" spans="1:7" x14ac:dyDescent="0.25">
      <c r="A317" s="74" t="s">
        <v>939</v>
      </c>
      <c r="B317" s="31"/>
      <c r="C317" s="31"/>
      <c r="D317" s="39">
        <v>-11450</v>
      </c>
      <c r="E317" s="24">
        <v>-1987.35</v>
      </c>
      <c r="F317" s="25">
        <v>-3.2070000000000002E-3</v>
      </c>
      <c r="G317" s="75"/>
    </row>
    <row r="318" spans="1:7" x14ac:dyDescent="0.25">
      <c r="A318" s="74" t="s">
        <v>940</v>
      </c>
      <c r="B318" s="31"/>
      <c r="C318" s="31"/>
      <c r="D318" s="39">
        <v>-265500</v>
      </c>
      <c r="E318" s="24">
        <v>-1989.52</v>
      </c>
      <c r="F318" s="25">
        <v>-3.2100000000000002E-3</v>
      </c>
      <c r="G318" s="75"/>
    </row>
    <row r="319" spans="1:7" x14ac:dyDescent="0.25">
      <c r="A319" s="74" t="s">
        <v>941</v>
      </c>
      <c r="B319" s="31"/>
      <c r="C319" s="31"/>
      <c r="D319" s="39">
        <v>-88250</v>
      </c>
      <c r="E319" s="24">
        <v>-1993.08</v>
      </c>
      <c r="F319" s="25">
        <v>-3.2160000000000001E-3</v>
      </c>
      <c r="G319" s="75"/>
    </row>
    <row r="320" spans="1:7" x14ac:dyDescent="0.25">
      <c r="A320" s="74" t="s">
        <v>942</v>
      </c>
      <c r="B320" s="31"/>
      <c r="C320" s="31"/>
      <c r="D320" s="39">
        <v>-179250</v>
      </c>
      <c r="E320" s="24">
        <v>-2016.92</v>
      </c>
      <c r="F320" s="25">
        <v>-3.2539999999999999E-3</v>
      </c>
      <c r="G320" s="75"/>
    </row>
    <row r="321" spans="1:7" x14ac:dyDescent="0.25">
      <c r="A321" s="74" t="s">
        <v>943</v>
      </c>
      <c r="B321" s="31"/>
      <c r="C321" s="31"/>
      <c r="D321" s="39">
        <v>-446400</v>
      </c>
      <c r="E321" s="24">
        <v>-2194.73</v>
      </c>
      <c r="F321" s="25">
        <v>-3.5409999999999999E-3</v>
      </c>
      <c r="G321" s="75"/>
    </row>
    <row r="322" spans="1:7" x14ac:dyDescent="0.25">
      <c r="A322" s="74" t="s">
        <v>944</v>
      </c>
      <c r="B322" s="31"/>
      <c r="C322" s="31"/>
      <c r="D322" s="39">
        <v>-333750</v>
      </c>
      <c r="E322" s="24">
        <v>-2354.27</v>
      </c>
      <c r="F322" s="25">
        <v>-3.7989999999999999E-3</v>
      </c>
      <c r="G322" s="75"/>
    </row>
    <row r="323" spans="1:7" x14ac:dyDescent="0.25">
      <c r="A323" s="74" t="s">
        <v>945</v>
      </c>
      <c r="B323" s="31"/>
      <c r="C323" s="31"/>
      <c r="D323" s="39">
        <v>-232700</v>
      </c>
      <c r="E323" s="24">
        <v>-2385.06</v>
      </c>
      <c r="F323" s="25">
        <v>-3.8479999999999999E-3</v>
      </c>
      <c r="G323" s="75"/>
    </row>
    <row r="324" spans="1:7" x14ac:dyDescent="0.25">
      <c r="A324" s="74" t="s">
        <v>946</v>
      </c>
      <c r="B324" s="31"/>
      <c r="C324" s="31"/>
      <c r="D324" s="39">
        <v>-186375</v>
      </c>
      <c r="E324" s="24">
        <v>-2470.0300000000002</v>
      </c>
      <c r="F324" s="25">
        <v>-3.9849999999999998E-3</v>
      </c>
      <c r="G324" s="75"/>
    </row>
    <row r="325" spans="1:7" x14ac:dyDescent="0.25">
      <c r="A325" s="74" t="s">
        <v>947</v>
      </c>
      <c r="B325" s="31"/>
      <c r="C325" s="31"/>
      <c r="D325" s="39">
        <v>-170500</v>
      </c>
      <c r="E325" s="24">
        <v>-2516.0700000000002</v>
      </c>
      <c r="F325" s="25">
        <v>-4.0600000000000002E-3</v>
      </c>
      <c r="G325" s="75"/>
    </row>
    <row r="326" spans="1:7" x14ac:dyDescent="0.25">
      <c r="A326" s="74" t="s">
        <v>948</v>
      </c>
      <c r="B326" s="31"/>
      <c r="C326" s="31"/>
      <c r="D326" s="39">
        <v>-508500</v>
      </c>
      <c r="E326" s="24">
        <v>-2558.0100000000002</v>
      </c>
      <c r="F326" s="25">
        <v>-4.1269999999999996E-3</v>
      </c>
      <c r="G326" s="75"/>
    </row>
    <row r="327" spans="1:7" x14ac:dyDescent="0.25">
      <c r="A327" s="74" t="s">
        <v>949</v>
      </c>
      <c r="B327" s="31"/>
      <c r="C327" s="31"/>
      <c r="D327" s="39">
        <v>-862500</v>
      </c>
      <c r="E327" s="24">
        <v>-2594.83</v>
      </c>
      <c r="F327" s="25">
        <v>-4.1869999999999997E-3</v>
      </c>
      <c r="G327" s="75"/>
    </row>
    <row r="328" spans="1:7" x14ac:dyDescent="0.25">
      <c r="A328" s="74" t="s">
        <v>950</v>
      </c>
      <c r="B328" s="31"/>
      <c r="C328" s="31"/>
      <c r="D328" s="39">
        <v>-1608000</v>
      </c>
      <c r="E328" s="24">
        <v>-2629.88</v>
      </c>
      <c r="F328" s="25">
        <v>-4.2430000000000002E-3</v>
      </c>
      <c r="G328" s="75"/>
    </row>
    <row r="329" spans="1:7" x14ac:dyDescent="0.25">
      <c r="A329" s="74" t="s">
        <v>951</v>
      </c>
      <c r="B329" s="31"/>
      <c r="C329" s="31"/>
      <c r="D329" s="39">
        <v>-1352800</v>
      </c>
      <c r="E329" s="24">
        <v>-2869.97</v>
      </c>
      <c r="F329" s="25">
        <v>-4.6309999999999997E-3</v>
      </c>
      <c r="G329" s="75"/>
    </row>
    <row r="330" spans="1:7" x14ac:dyDescent="0.25">
      <c r="A330" s="74" t="s">
        <v>952</v>
      </c>
      <c r="B330" s="31"/>
      <c r="C330" s="31"/>
      <c r="D330" s="39">
        <v>-836550</v>
      </c>
      <c r="E330" s="24">
        <v>-3202.73</v>
      </c>
      <c r="F330" s="25">
        <v>-5.1679999999999999E-3</v>
      </c>
      <c r="G330" s="75"/>
    </row>
    <row r="331" spans="1:7" x14ac:dyDescent="0.25">
      <c r="A331" s="74" t="s">
        <v>953</v>
      </c>
      <c r="B331" s="31"/>
      <c r="C331" s="31"/>
      <c r="D331" s="39">
        <v>-648000</v>
      </c>
      <c r="E331" s="24">
        <v>-3214.73</v>
      </c>
      <c r="F331" s="25">
        <v>-5.1869999999999998E-3</v>
      </c>
      <c r="G331" s="75"/>
    </row>
    <row r="332" spans="1:7" x14ac:dyDescent="0.25">
      <c r="A332" s="74" t="s">
        <v>954</v>
      </c>
      <c r="B332" s="31"/>
      <c r="C332" s="31"/>
      <c r="D332" s="39">
        <v>-367500</v>
      </c>
      <c r="E332" s="24">
        <v>-3272.77</v>
      </c>
      <c r="F332" s="25">
        <v>-5.2810000000000001E-3</v>
      </c>
      <c r="G332" s="75"/>
    </row>
    <row r="333" spans="1:7" x14ac:dyDescent="0.25">
      <c r="A333" s="74" t="s">
        <v>955</v>
      </c>
      <c r="B333" s="31"/>
      <c r="C333" s="31"/>
      <c r="D333" s="39">
        <v>-1458750</v>
      </c>
      <c r="E333" s="24">
        <v>-3289.48</v>
      </c>
      <c r="F333" s="25">
        <v>-5.3080000000000002E-3</v>
      </c>
      <c r="G333" s="75"/>
    </row>
    <row r="334" spans="1:7" x14ac:dyDescent="0.25">
      <c r="A334" s="74" t="s">
        <v>956</v>
      </c>
      <c r="B334" s="31"/>
      <c r="C334" s="31"/>
      <c r="D334" s="39">
        <v>-918000</v>
      </c>
      <c r="E334" s="24">
        <v>-3317.19</v>
      </c>
      <c r="F334" s="25">
        <v>-5.3530000000000001E-3</v>
      </c>
      <c r="G334" s="75"/>
    </row>
    <row r="335" spans="1:7" x14ac:dyDescent="0.25">
      <c r="A335" s="74" t="s">
        <v>957</v>
      </c>
      <c r="B335" s="31"/>
      <c r="C335" s="31"/>
      <c r="D335" s="39">
        <v>-287700</v>
      </c>
      <c r="E335" s="24">
        <v>-3351.99</v>
      </c>
      <c r="F335" s="25">
        <v>-5.4089999999999997E-3</v>
      </c>
      <c r="G335" s="75"/>
    </row>
    <row r="336" spans="1:7" x14ac:dyDescent="0.25">
      <c r="A336" s="74" t="s">
        <v>958</v>
      </c>
      <c r="B336" s="31"/>
      <c r="C336" s="31"/>
      <c r="D336" s="39">
        <v>-119500</v>
      </c>
      <c r="E336" s="24">
        <v>-3383.88</v>
      </c>
      <c r="F336" s="25">
        <v>-5.4599999999999996E-3</v>
      </c>
      <c r="G336" s="75"/>
    </row>
    <row r="337" spans="1:7" x14ac:dyDescent="0.25">
      <c r="A337" s="74" t="s">
        <v>959</v>
      </c>
      <c r="B337" s="31"/>
      <c r="C337" s="31"/>
      <c r="D337" s="39">
        <v>-129750</v>
      </c>
      <c r="E337" s="24">
        <v>-3492.48</v>
      </c>
      <c r="F337" s="25">
        <v>-5.6350000000000003E-3</v>
      </c>
      <c r="G337" s="75"/>
    </row>
    <row r="338" spans="1:7" x14ac:dyDescent="0.25">
      <c r="A338" s="74" t="s">
        <v>960</v>
      </c>
      <c r="B338" s="31"/>
      <c r="C338" s="31"/>
      <c r="D338" s="39">
        <v>-213200</v>
      </c>
      <c r="E338" s="24">
        <v>-3577.18</v>
      </c>
      <c r="F338" s="25">
        <v>-5.7720000000000002E-3</v>
      </c>
      <c r="G338" s="75"/>
    </row>
    <row r="339" spans="1:7" x14ac:dyDescent="0.25">
      <c r="A339" s="74" t="s">
        <v>961</v>
      </c>
      <c r="B339" s="31"/>
      <c r="C339" s="31"/>
      <c r="D339" s="39">
        <v>-37030000</v>
      </c>
      <c r="E339" s="24">
        <v>-3628.94</v>
      </c>
      <c r="F339" s="25">
        <v>-5.8560000000000001E-3</v>
      </c>
      <c r="G339" s="75"/>
    </row>
    <row r="340" spans="1:7" x14ac:dyDescent="0.25">
      <c r="A340" s="74" t="s">
        <v>962</v>
      </c>
      <c r="B340" s="31"/>
      <c r="C340" s="31"/>
      <c r="D340" s="39">
        <v>-301600</v>
      </c>
      <c r="E340" s="24">
        <v>-3718.88</v>
      </c>
      <c r="F340" s="25">
        <v>-6.0010000000000003E-3</v>
      </c>
      <c r="G340" s="75"/>
    </row>
    <row r="341" spans="1:7" x14ac:dyDescent="0.25">
      <c r="A341" s="74" t="s">
        <v>963</v>
      </c>
      <c r="B341" s="31"/>
      <c r="C341" s="31"/>
      <c r="D341" s="39">
        <v>-3360400</v>
      </c>
      <c r="E341" s="24">
        <v>-3803.97</v>
      </c>
      <c r="F341" s="25">
        <v>-6.1380000000000002E-3</v>
      </c>
      <c r="G341" s="75"/>
    </row>
    <row r="342" spans="1:7" x14ac:dyDescent="0.25">
      <c r="A342" s="74" t="s">
        <v>964</v>
      </c>
      <c r="B342" s="31"/>
      <c r="C342" s="31"/>
      <c r="D342" s="39">
        <v>-3010200</v>
      </c>
      <c r="E342" s="24">
        <v>-3944.87</v>
      </c>
      <c r="F342" s="25">
        <v>-6.3660000000000001E-3</v>
      </c>
      <c r="G342" s="75"/>
    </row>
    <row r="343" spans="1:7" x14ac:dyDescent="0.25">
      <c r="A343" s="74" t="s">
        <v>965</v>
      </c>
      <c r="B343" s="31"/>
      <c r="C343" s="31"/>
      <c r="D343" s="39">
        <v>-834000</v>
      </c>
      <c r="E343" s="24">
        <v>-4107.45</v>
      </c>
      <c r="F343" s="25">
        <v>-6.6280000000000002E-3</v>
      </c>
      <c r="G343" s="75"/>
    </row>
    <row r="344" spans="1:7" x14ac:dyDescent="0.25">
      <c r="A344" s="74" t="s">
        <v>966</v>
      </c>
      <c r="B344" s="31"/>
      <c r="C344" s="31"/>
      <c r="D344" s="39">
        <v>-289800</v>
      </c>
      <c r="E344" s="24">
        <v>-4128.2</v>
      </c>
      <c r="F344" s="25">
        <v>-6.6610000000000003E-3</v>
      </c>
      <c r="G344" s="75"/>
    </row>
    <row r="345" spans="1:7" x14ac:dyDescent="0.25">
      <c r="A345" s="74" t="s">
        <v>967</v>
      </c>
      <c r="B345" s="31"/>
      <c r="C345" s="31"/>
      <c r="D345" s="39">
        <v>-760025</v>
      </c>
      <c r="E345" s="24">
        <v>-4357.22</v>
      </c>
      <c r="F345" s="25">
        <v>-7.0309999999999999E-3</v>
      </c>
      <c r="G345" s="75"/>
    </row>
    <row r="346" spans="1:7" x14ac:dyDescent="0.25">
      <c r="A346" s="74" t="s">
        <v>968</v>
      </c>
      <c r="B346" s="31"/>
      <c r="C346" s="31"/>
      <c r="D346" s="39">
        <v>-12928000</v>
      </c>
      <c r="E346" s="24">
        <v>-4557.12</v>
      </c>
      <c r="F346" s="25">
        <v>-7.3540000000000003E-3</v>
      </c>
      <c r="G346" s="75"/>
    </row>
    <row r="347" spans="1:7" x14ac:dyDescent="0.25">
      <c r="A347" s="74" t="s">
        <v>969</v>
      </c>
      <c r="B347" s="31"/>
      <c r="C347" s="31"/>
      <c r="D347" s="39">
        <v>-1808000</v>
      </c>
      <c r="E347" s="24">
        <v>-4557.97</v>
      </c>
      <c r="F347" s="25">
        <v>-7.3550000000000004E-3</v>
      </c>
      <c r="G347" s="75"/>
    </row>
    <row r="348" spans="1:7" x14ac:dyDescent="0.25">
      <c r="A348" s="74" t="s">
        <v>970</v>
      </c>
      <c r="B348" s="31"/>
      <c r="C348" s="31"/>
      <c r="D348" s="39">
        <v>-3328500</v>
      </c>
      <c r="E348" s="24">
        <v>-4663.2299999999996</v>
      </c>
      <c r="F348" s="25">
        <v>-7.5249999999999996E-3</v>
      </c>
      <c r="G348" s="75"/>
    </row>
    <row r="349" spans="1:7" x14ac:dyDescent="0.25">
      <c r="A349" s="74" t="s">
        <v>971</v>
      </c>
      <c r="B349" s="31"/>
      <c r="C349" s="31"/>
      <c r="D349" s="39">
        <v>-320150</v>
      </c>
      <c r="E349" s="24">
        <v>-4767.99</v>
      </c>
      <c r="F349" s="25">
        <v>-7.6940000000000003E-3</v>
      </c>
      <c r="G349" s="75"/>
    </row>
    <row r="350" spans="1:7" x14ac:dyDescent="0.25">
      <c r="A350" s="74" t="s">
        <v>972</v>
      </c>
      <c r="B350" s="31"/>
      <c r="C350" s="31"/>
      <c r="D350" s="39">
        <v>-220000</v>
      </c>
      <c r="E350" s="24">
        <v>-4830.54</v>
      </c>
      <c r="F350" s="25">
        <v>-7.7949999999999998E-3</v>
      </c>
      <c r="G350" s="75"/>
    </row>
    <row r="351" spans="1:7" x14ac:dyDescent="0.25">
      <c r="A351" s="74" t="s">
        <v>973</v>
      </c>
      <c r="B351" s="31"/>
      <c r="C351" s="31"/>
      <c r="D351" s="39">
        <v>-7950000</v>
      </c>
      <c r="E351" s="24">
        <v>-4944.8999999999996</v>
      </c>
      <c r="F351" s="25">
        <v>-7.979E-3</v>
      </c>
      <c r="G351" s="75"/>
    </row>
    <row r="352" spans="1:7" x14ac:dyDescent="0.25">
      <c r="A352" s="74" t="s">
        <v>974</v>
      </c>
      <c r="B352" s="31"/>
      <c r="C352" s="31"/>
      <c r="D352" s="39">
        <v>-281175</v>
      </c>
      <c r="E352" s="24">
        <v>-4990.72</v>
      </c>
      <c r="F352" s="25">
        <v>-8.0529999999999994E-3</v>
      </c>
      <c r="G352" s="75"/>
    </row>
    <row r="353" spans="1:7" x14ac:dyDescent="0.25">
      <c r="A353" s="74" t="s">
        <v>975</v>
      </c>
      <c r="B353" s="31"/>
      <c r="C353" s="31"/>
      <c r="D353" s="39">
        <v>-72750</v>
      </c>
      <c r="E353" s="24">
        <v>-5314.21</v>
      </c>
      <c r="F353" s="25">
        <v>-8.5749999999999993E-3</v>
      </c>
      <c r="G353" s="75"/>
    </row>
    <row r="354" spans="1:7" x14ac:dyDescent="0.25">
      <c r="A354" s="74" t="s">
        <v>976</v>
      </c>
      <c r="B354" s="31"/>
      <c r="C354" s="31"/>
      <c r="D354" s="39">
        <v>-119300</v>
      </c>
      <c r="E354" s="24">
        <v>-5336.47</v>
      </c>
      <c r="F354" s="25">
        <v>-8.6110000000000006E-3</v>
      </c>
      <c r="G354" s="75"/>
    </row>
    <row r="355" spans="1:7" x14ac:dyDescent="0.25">
      <c r="A355" s="74" t="s">
        <v>977</v>
      </c>
      <c r="B355" s="31"/>
      <c r="C355" s="31"/>
      <c r="D355" s="39">
        <v>-996600</v>
      </c>
      <c r="E355" s="24">
        <v>-5382.64</v>
      </c>
      <c r="F355" s="25">
        <v>-8.6859999999999993E-3</v>
      </c>
      <c r="G355" s="75"/>
    </row>
    <row r="356" spans="1:7" x14ac:dyDescent="0.25">
      <c r="A356" s="74" t="s">
        <v>978</v>
      </c>
      <c r="B356" s="31"/>
      <c r="C356" s="31"/>
      <c r="D356" s="39">
        <v>-271500</v>
      </c>
      <c r="E356" s="24">
        <v>-5579.46</v>
      </c>
      <c r="F356" s="25">
        <v>-9.0030000000000006E-3</v>
      </c>
      <c r="G356" s="75"/>
    </row>
    <row r="357" spans="1:7" x14ac:dyDescent="0.25">
      <c r="A357" s="74" t="s">
        <v>979</v>
      </c>
      <c r="B357" s="31"/>
      <c r="C357" s="31"/>
      <c r="D357" s="39">
        <v>-763200</v>
      </c>
      <c r="E357" s="24">
        <v>-5824.74</v>
      </c>
      <c r="F357" s="25">
        <v>-9.3989999999999994E-3</v>
      </c>
      <c r="G357" s="75"/>
    </row>
    <row r="358" spans="1:7" x14ac:dyDescent="0.25">
      <c r="A358" s="74" t="s">
        <v>980</v>
      </c>
      <c r="B358" s="31"/>
      <c r="C358" s="31"/>
      <c r="D358" s="39">
        <v>-359575</v>
      </c>
      <c r="E358" s="24">
        <v>-6015.15</v>
      </c>
      <c r="F358" s="25">
        <v>-9.7059999999999994E-3</v>
      </c>
      <c r="G358" s="75"/>
    </row>
    <row r="359" spans="1:7" x14ac:dyDescent="0.25">
      <c r="A359" s="74" t="s">
        <v>981</v>
      </c>
      <c r="B359" s="31"/>
      <c r="C359" s="31"/>
      <c r="D359" s="39">
        <v>-141600</v>
      </c>
      <c r="E359" s="24">
        <v>-6125.69</v>
      </c>
      <c r="F359" s="25">
        <v>-9.8849999999999997E-3</v>
      </c>
      <c r="G359" s="75"/>
    </row>
    <row r="360" spans="1:7" x14ac:dyDescent="0.25">
      <c r="A360" s="74" t="s">
        <v>982</v>
      </c>
      <c r="B360" s="31"/>
      <c r="C360" s="31"/>
      <c r="D360" s="39">
        <v>-2064600</v>
      </c>
      <c r="E360" s="24">
        <v>-6388.9</v>
      </c>
      <c r="F360" s="25">
        <v>-1.031E-2</v>
      </c>
      <c r="G360" s="75"/>
    </row>
    <row r="361" spans="1:7" x14ac:dyDescent="0.25">
      <c r="A361" s="74" t="s">
        <v>983</v>
      </c>
      <c r="B361" s="31"/>
      <c r="C361" s="31"/>
      <c r="D361" s="39">
        <v>-343500</v>
      </c>
      <c r="E361" s="24">
        <v>-6573.56</v>
      </c>
      <c r="F361" s="25">
        <v>-1.0607999999999999E-2</v>
      </c>
      <c r="G361" s="75"/>
    </row>
    <row r="362" spans="1:7" x14ac:dyDescent="0.25">
      <c r="A362" s="74" t="s">
        <v>984</v>
      </c>
      <c r="B362" s="31"/>
      <c r="C362" s="31"/>
      <c r="D362" s="39">
        <v>-536350</v>
      </c>
      <c r="E362" s="24">
        <v>-7053.27</v>
      </c>
      <c r="F362" s="25">
        <v>-1.1382E-2</v>
      </c>
      <c r="G362" s="75"/>
    </row>
    <row r="363" spans="1:7" x14ac:dyDescent="0.25">
      <c r="A363" s="74" t="s">
        <v>985</v>
      </c>
      <c r="B363" s="31"/>
      <c r="C363" s="31"/>
      <c r="D363" s="39">
        <v>-404151</v>
      </c>
      <c r="E363" s="24">
        <v>-7786.98</v>
      </c>
      <c r="F363" s="25">
        <v>-1.2566000000000001E-2</v>
      </c>
      <c r="G363" s="75"/>
    </row>
    <row r="364" spans="1:7" x14ac:dyDescent="0.25">
      <c r="A364" s="74" t="s">
        <v>986</v>
      </c>
      <c r="B364" s="31"/>
      <c r="C364" s="31"/>
      <c r="D364" s="39">
        <v>-828900</v>
      </c>
      <c r="E364" s="24">
        <v>-7789.17</v>
      </c>
      <c r="F364" s="25">
        <v>-1.2569E-2</v>
      </c>
      <c r="G364" s="75"/>
    </row>
    <row r="365" spans="1:7" x14ac:dyDescent="0.25">
      <c r="A365" s="74" t="s">
        <v>987</v>
      </c>
      <c r="B365" s="31"/>
      <c r="C365" s="31"/>
      <c r="D365" s="39">
        <v>-444000</v>
      </c>
      <c r="E365" s="24">
        <v>-7823.95</v>
      </c>
      <c r="F365" s="25">
        <v>-1.2625000000000001E-2</v>
      </c>
      <c r="G365" s="75"/>
    </row>
    <row r="366" spans="1:7" x14ac:dyDescent="0.25">
      <c r="A366" s="74" t="s">
        <v>988</v>
      </c>
      <c r="B366" s="31"/>
      <c r="C366" s="31"/>
      <c r="D366" s="39">
        <v>-6630000</v>
      </c>
      <c r="E366" s="24">
        <v>-8108.49</v>
      </c>
      <c r="F366" s="25">
        <v>-1.3084999999999999E-2</v>
      </c>
      <c r="G366" s="75"/>
    </row>
    <row r="367" spans="1:7" x14ac:dyDescent="0.25">
      <c r="A367" s="74" t="s">
        <v>989</v>
      </c>
      <c r="B367" s="31"/>
      <c r="C367" s="31"/>
      <c r="D367" s="39">
        <v>-3388500</v>
      </c>
      <c r="E367" s="24">
        <v>-8134.09</v>
      </c>
      <c r="F367" s="25">
        <v>-1.3126000000000001E-2</v>
      </c>
      <c r="G367" s="75"/>
    </row>
    <row r="368" spans="1:7" x14ac:dyDescent="0.25">
      <c r="A368" s="74" t="s">
        <v>990</v>
      </c>
      <c r="B368" s="31"/>
      <c r="C368" s="31"/>
      <c r="D368" s="39">
        <v>-8626000</v>
      </c>
      <c r="E368" s="24">
        <v>-8556.99</v>
      </c>
      <c r="F368" s="25">
        <v>-1.3808000000000001E-2</v>
      </c>
      <c r="G368" s="75"/>
    </row>
    <row r="369" spans="1:7" x14ac:dyDescent="0.25">
      <c r="A369" s="74" t="s">
        <v>991</v>
      </c>
      <c r="B369" s="31"/>
      <c r="C369" s="31"/>
      <c r="D369" s="39">
        <v>-3732000</v>
      </c>
      <c r="E369" s="24">
        <v>-10792.94</v>
      </c>
      <c r="F369" s="25">
        <v>-1.7416999999999998E-2</v>
      </c>
      <c r="G369" s="75"/>
    </row>
    <row r="370" spans="1:7" x14ac:dyDescent="0.25">
      <c r="A370" s="74" t="s">
        <v>992</v>
      </c>
      <c r="B370" s="31"/>
      <c r="C370" s="31"/>
      <c r="D370" s="39">
        <v>-579000</v>
      </c>
      <c r="E370" s="24">
        <v>-13912.79</v>
      </c>
      <c r="F370" s="25">
        <v>-2.2450999999999999E-2</v>
      </c>
      <c r="G370" s="75"/>
    </row>
    <row r="371" spans="1:7" x14ac:dyDescent="0.25">
      <c r="A371" s="74" t="s">
        <v>993</v>
      </c>
      <c r="B371" s="31"/>
      <c r="C371" s="31"/>
      <c r="D371" s="39">
        <v>-788500</v>
      </c>
      <c r="E371" s="24">
        <v>-15933.22</v>
      </c>
      <c r="F371" s="25">
        <v>-2.5711999999999999E-2</v>
      </c>
      <c r="G371" s="75"/>
    </row>
    <row r="372" spans="1:7" x14ac:dyDescent="0.25">
      <c r="A372" s="74" t="s">
        <v>994</v>
      </c>
      <c r="B372" s="31"/>
      <c r="C372" s="31"/>
      <c r="D372" s="39">
        <v>-4064100</v>
      </c>
      <c r="E372" s="24">
        <v>-16490.09</v>
      </c>
      <c r="F372" s="25">
        <v>-2.6610000000000002E-2</v>
      </c>
      <c r="G372" s="75"/>
    </row>
    <row r="373" spans="1:7" x14ac:dyDescent="0.25">
      <c r="A373" s="74" t="s">
        <v>995</v>
      </c>
      <c r="B373" s="31"/>
      <c r="C373" s="31"/>
      <c r="D373" s="39">
        <v>-2183100</v>
      </c>
      <c r="E373" s="24">
        <v>-16532.62</v>
      </c>
      <c r="F373" s="25">
        <v>-2.6679000000000001E-2</v>
      </c>
      <c r="G373" s="75"/>
    </row>
    <row r="374" spans="1:7" x14ac:dyDescent="0.25">
      <c r="A374" s="74" t="s">
        <v>996</v>
      </c>
      <c r="B374" s="31"/>
      <c r="C374" s="31"/>
      <c r="D374" s="39">
        <v>-652000</v>
      </c>
      <c r="E374" s="24">
        <v>-17280.93</v>
      </c>
      <c r="F374" s="25">
        <v>-2.7886999999999999E-2</v>
      </c>
      <c r="G374" s="75"/>
    </row>
    <row r="375" spans="1:7" x14ac:dyDescent="0.25">
      <c r="A375" s="74" t="s">
        <v>997</v>
      </c>
      <c r="B375" s="31"/>
      <c r="C375" s="31"/>
      <c r="D375" s="39">
        <v>-3753750</v>
      </c>
      <c r="E375" s="24">
        <v>-29198.54</v>
      </c>
      <c r="F375" s="25">
        <v>-4.7119000000000001E-2</v>
      </c>
      <c r="G375" s="75"/>
    </row>
    <row r="376" spans="1:7" x14ac:dyDescent="0.25">
      <c r="A376" s="76" t="s">
        <v>90</v>
      </c>
      <c r="B376" s="32"/>
      <c r="C376" s="32"/>
      <c r="D376" s="18"/>
      <c r="E376" s="40">
        <v>-446082.83</v>
      </c>
      <c r="F376" s="41">
        <v>-0.719781</v>
      </c>
      <c r="G376" s="77"/>
    </row>
    <row r="377" spans="1:7" x14ac:dyDescent="0.25">
      <c r="A377" s="74"/>
      <c r="B377" s="31"/>
      <c r="C377" s="31"/>
      <c r="D377" s="14"/>
      <c r="E377" s="15"/>
      <c r="F377" s="16"/>
      <c r="G377" s="75"/>
    </row>
    <row r="378" spans="1:7" x14ac:dyDescent="0.25">
      <c r="A378" s="74"/>
      <c r="B378" s="31"/>
      <c r="C378" s="31"/>
      <c r="D378" s="14"/>
      <c r="E378" s="15"/>
      <c r="F378" s="16"/>
      <c r="G378" s="75"/>
    </row>
    <row r="379" spans="1:7" x14ac:dyDescent="0.25">
      <c r="A379" s="74"/>
      <c r="B379" s="31"/>
      <c r="C379" s="31"/>
      <c r="D379" s="14"/>
      <c r="E379" s="15"/>
      <c r="F379" s="16"/>
      <c r="G379" s="75"/>
    </row>
    <row r="380" spans="1:7" x14ac:dyDescent="0.25">
      <c r="A380" s="78" t="s">
        <v>93</v>
      </c>
      <c r="B380" s="79"/>
      <c r="C380" s="79"/>
      <c r="D380" s="80"/>
      <c r="E380" s="40">
        <v>-446082.83</v>
      </c>
      <c r="F380" s="41">
        <v>-0.719781</v>
      </c>
      <c r="G380" s="77"/>
    </row>
    <row r="381" spans="1:7" x14ac:dyDescent="0.25">
      <c r="A381" s="74"/>
      <c r="B381" s="31"/>
      <c r="C381" s="31"/>
      <c r="D381" s="14"/>
      <c r="E381" s="15"/>
      <c r="F381" s="16"/>
      <c r="G381" s="75"/>
    </row>
    <row r="382" spans="1:7" x14ac:dyDescent="0.25">
      <c r="A382" s="76" t="s">
        <v>86</v>
      </c>
      <c r="B382" s="31"/>
      <c r="C382" s="31"/>
      <c r="D382" s="14"/>
      <c r="E382" s="15"/>
      <c r="F382" s="16"/>
      <c r="G382" s="75"/>
    </row>
    <row r="383" spans="1:7" x14ac:dyDescent="0.25">
      <c r="A383" s="76" t="s">
        <v>87</v>
      </c>
      <c r="B383" s="31"/>
      <c r="C383" s="31"/>
      <c r="D383" s="14"/>
      <c r="E383" s="15"/>
      <c r="F383" s="16"/>
      <c r="G383" s="75"/>
    </row>
    <row r="384" spans="1:7" x14ac:dyDescent="0.25">
      <c r="A384" s="74" t="s">
        <v>1932</v>
      </c>
      <c r="B384" s="31" t="s">
        <v>998</v>
      </c>
      <c r="C384" s="31" t="s">
        <v>121</v>
      </c>
      <c r="D384" s="14">
        <v>10000000</v>
      </c>
      <c r="E384" s="15">
        <v>10036.14</v>
      </c>
      <c r="F384" s="16">
        <v>1.6199999999999999E-2</v>
      </c>
      <c r="G384" s="75">
        <v>3.9948999999999998E-2</v>
      </c>
    </row>
    <row r="385" spans="1:7" x14ac:dyDescent="0.25">
      <c r="A385" s="76" t="s">
        <v>90</v>
      </c>
      <c r="B385" s="32"/>
      <c r="C385" s="32"/>
      <c r="D385" s="18"/>
      <c r="E385" s="35">
        <v>10036.14</v>
      </c>
      <c r="F385" s="36">
        <v>1.6199999999999999E-2</v>
      </c>
      <c r="G385" s="77"/>
    </row>
    <row r="386" spans="1:7" x14ac:dyDescent="0.25">
      <c r="A386" s="74"/>
      <c r="B386" s="31"/>
      <c r="C386" s="31"/>
      <c r="D386" s="14"/>
      <c r="E386" s="15"/>
      <c r="F386" s="16"/>
      <c r="G386" s="75"/>
    </row>
    <row r="387" spans="1:7" x14ac:dyDescent="0.25">
      <c r="A387" s="76" t="s">
        <v>195</v>
      </c>
      <c r="B387" s="31"/>
      <c r="C387" s="31"/>
      <c r="D387" s="14"/>
      <c r="E387" s="15"/>
      <c r="F387" s="16"/>
      <c r="G387" s="75"/>
    </row>
    <row r="388" spans="1:7" x14ac:dyDescent="0.25">
      <c r="A388" s="74" t="s">
        <v>1937</v>
      </c>
      <c r="B388" s="31" t="s">
        <v>999</v>
      </c>
      <c r="C388" s="31" t="s">
        <v>197</v>
      </c>
      <c r="D388" s="14">
        <v>10000000</v>
      </c>
      <c r="E388" s="15">
        <v>10082.67</v>
      </c>
      <c r="F388" s="16">
        <v>1.6299999999999999E-2</v>
      </c>
      <c r="G388" s="75">
        <v>3.7718000000000002E-2</v>
      </c>
    </row>
    <row r="389" spans="1:7" x14ac:dyDescent="0.25">
      <c r="A389" s="74" t="s">
        <v>1938</v>
      </c>
      <c r="B389" s="31" t="s">
        <v>1000</v>
      </c>
      <c r="C389" s="31" t="s">
        <v>197</v>
      </c>
      <c r="D389" s="14">
        <v>10000000</v>
      </c>
      <c r="E389" s="15">
        <v>10055.74</v>
      </c>
      <c r="F389" s="16">
        <v>1.6199999999999999E-2</v>
      </c>
      <c r="G389" s="75">
        <v>3.6000999999999998E-2</v>
      </c>
    </row>
    <row r="390" spans="1:7" x14ac:dyDescent="0.25">
      <c r="A390" s="74" t="s">
        <v>1939</v>
      </c>
      <c r="B390" s="31" t="s">
        <v>1001</v>
      </c>
      <c r="C390" s="31" t="s">
        <v>197</v>
      </c>
      <c r="D390" s="14">
        <v>10000000</v>
      </c>
      <c r="E390" s="15">
        <v>10005.68</v>
      </c>
      <c r="F390" s="16">
        <v>1.61E-2</v>
      </c>
      <c r="G390" s="75">
        <v>3.3515000000000003E-2</v>
      </c>
    </row>
    <row r="391" spans="1:7" x14ac:dyDescent="0.25">
      <c r="A391" s="74" t="s">
        <v>1936</v>
      </c>
      <c r="B391" s="31" t="s">
        <v>1002</v>
      </c>
      <c r="C391" s="31" t="s">
        <v>197</v>
      </c>
      <c r="D391" s="14">
        <v>5000000</v>
      </c>
      <c r="E391" s="15">
        <v>5087.51</v>
      </c>
      <c r="F391" s="16">
        <v>8.2000000000000007E-3</v>
      </c>
      <c r="G391" s="75">
        <v>4.3208999999999997E-2</v>
      </c>
    </row>
    <row r="392" spans="1:7" x14ac:dyDescent="0.25">
      <c r="A392" s="74" t="s">
        <v>1940</v>
      </c>
      <c r="B392" s="31" t="s">
        <v>1003</v>
      </c>
      <c r="C392" s="31" t="s">
        <v>197</v>
      </c>
      <c r="D392" s="14">
        <v>5000000</v>
      </c>
      <c r="E392" s="15">
        <v>5063.93</v>
      </c>
      <c r="F392" s="16">
        <v>8.2000000000000007E-3</v>
      </c>
      <c r="G392" s="75">
        <v>4.1568000000000001E-2</v>
      </c>
    </row>
    <row r="393" spans="1:7" x14ac:dyDescent="0.25">
      <c r="A393" s="74" t="s">
        <v>1941</v>
      </c>
      <c r="B393" s="31" t="s">
        <v>1004</v>
      </c>
      <c r="C393" s="31" t="s">
        <v>197</v>
      </c>
      <c r="D393" s="14">
        <v>5000000</v>
      </c>
      <c r="E393" s="15">
        <v>4991.04</v>
      </c>
      <c r="F393" s="16">
        <v>8.0999999999999996E-3</v>
      </c>
      <c r="G393" s="75">
        <v>4.2573E-2</v>
      </c>
    </row>
    <row r="394" spans="1:7" x14ac:dyDescent="0.25">
      <c r="A394" s="76" t="s">
        <v>90</v>
      </c>
      <c r="B394" s="32"/>
      <c r="C394" s="32"/>
      <c r="D394" s="18"/>
      <c r="E394" s="35">
        <v>45286.57</v>
      </c>
      <c r="F394" s="36">
        <v>7.3099999999999998E-2</v>
      </c>
      <c r="G394" s="77"/>
    </row>
    <row r="395" spans="1:7" x14ac:dyDescent="0.25">
      <c r="A395" s="74"/>
      <c r="B395" s="31"/>
      <c r="C395" s="31"/>
      <c r="D395" s="14"/>
      <c r="E395" s="15"/>
      <c r="F395" s="16"/>
      <c r="G395" s="75"/>
    </row>
    <row r="396" spans="1:7" x14ac:dyDescent="0.25">
      <c r="A396" s="76" t="s">
        <v>91</v>
      </c>
      <c r="B396" s="31"/>
      <c r="C396" s="31"/>
      <c r="D396" s="14"/>
      <c r="E396" s="15"/>
      <c r="F396" s="16"/>
      <c r="G396" s="75"/>
    </row>
    <row r="397" spans="1:7" x14ac:dyDescent="0.25">
      <c r="A397" s="76" t="s">
        <v>90</v>
      </c>
      <c r="B397" s="31"/>
      <c r="C397" s="31"/>
      <c r="D397" s="14"/>
      <c r="E397" s="37" t="s">
        <v>85</v>
      </c>
      <c r="F397" s="38" t="s">
        <v>85</v>
      </c>
      <c r="G397" s="75"/>
    </row>
    <row r="398" spans="1:7" x14ac:dyDescent="0.25">
      <c r="A398" s="74"/>
      <c r="B398" s="31"/>
      <c r="C398" s="31"/>
      <c r="D398" s="14"/>
      <c r="E398" s="15"/>
      <c r="F398" s="16"/>
      <c r="G398" s="75"/>
    </row>
    <row r="399" spans="1:7" x14ac:dyDescent="0.25">
      <c r="A399" s="76" t="s">
        <v>92</v>
      </c>
      <c r="B399" s="31"/>
      <c r="C399" s="31"/>
      <c r="D399" s="14"/>
      <c r="E399" s="15"/>
      <c r="F399" s="16"/>
      <c r="G399" s="75"/>
    </row>
    <row r="400" spans="1:7" x14ac:dyDescent="0.25">
      <c r="A400" s="76" t="s">
        <v>90</v>
      </c>
      <c r="B400" s="31"/>
      <c r="C400" s="31"/>
      <c r="D400" s="14"/>
      <c r="E400" s="37" t="s">
        <v>85</v>
      </c>
      <c r="F400" s="38" t="s">
        <v>85</v>
      </c>
      <c r="G400" s="75"/>
    </row>
    <row r="401" spans="1:7" x14ac:dyDescent="0.25">
      <c r="A401" s="74"/>
      <c r="B401" s="31"/>
      <c r="C401" s="31"/>
      <c r="D401" s="14"/>
      <c r="E401" s="15"/>
      <c r="F401" s="16"/>
      <c r="G401" s="75"/>
    </row>
    <row r="402" spans="1:7" x14ac:dyDescent="0.25">
      <c r="A402" s="78" t="s">
        <v>93</v>
      </c>
      <c r="B402" s="79"/>
      <c r="C402" s="79"/>
      <c r="D402" s="80"/>
      <c r="E402" s="35">
        <v>55322.71</v>
      </c>
      <c r="F402" s="36">
        <v>8.9300000000000004E-2</v>
      </c>
      <c r="G402" s="77"/>
    </row>
    <row r="403" spans="1:7" x14ac:dyDescent="0.25">
      <c r="A403" s="74"/>
      <c r="B403" s="31"/>
      <c r="C403" s="31"/>
      <c r="D403" s="14"/>
      <c r="E403" s="15"/>
      <c r="F403" s="16"/>
      <c r="G403" s="75"/>
    </row>
    <row r="404" spans="1:7" x14ac:dyDescent="0.25">
      <c r="A404" s="76" t="s">
        <v>94</v>
      </c>
      <c r="B404" s="31"/>
      <c r="C404" s="31"/>
      <c r="D404" s="14"/>
      <c r="E404" s="15"/>
      <c r="F404" s="16"/>
      <c r="G404" s="75"/>
    </row>
    <row r="405" spans="1:7" x14ac:dyDescent="0.25">
      <c r="A405" s="74"/>
      <c r="B405" s="31"/>
      <c r="C405" s="31"/>
      <c r="D405" s="14"/>
      <c r="E405" s="15"/>
      <c r="F405" s="16"/>
      <c r="G405" s="75"/>
    </row>
    <row r="406" spans="1:7" x14ac:dyDescent="0.25">
      <c r="A406" s="76" t="s">
        <v>330</v>
      </c>
      <c r="B406" s="31"/>
      <c r="C406" s="31"/>
      <c r="D406" s="14"/>
      <c r="E406" s="15"/>
      <c r="F406" s="16"/>
      <c r="G406" s="75"/>
    </row>
    <row r="407" spans="1:7" x14ac:dyDescent="0.25">
      <c r="A407" s="74" t="s">
        <v>1942</v>
      </c>
      <c r="B407" s="31" t="s">
        <v>1005</v>
      </c>
      <c r="C407" s="31" t="s">
        <v>197</v>
      </c>
      <c r="D407" s="14">
        <v>12500000</v>
      </c>
      <c r="E407" s="15">
        <v>12362.63</v>
      </c>
      <c r="F407" s="16">
        <v>0.02</v>
      </c>
      <c r="G407" s="75">
        <v>3.8998999999999999E-2</v>
      </c>
    </row>
    <row r="408" spans="1:7" x14ac:dyDescent="0.25">
      <c r="A408" s="74" t="s">
        <v>1943</v>
      </c>
      <c r="B408" s="31" t="s">
        <v>1006</v>
      </c>
      <c r="C408" s="31" t="s">
        <v>197</v>
      </c>
      <c r="D408" s="14">
        <v>12500000</v>
      </c>
      <c r="E408" s="15">
        <v>12353.33</v>
      </c>
      <c r="F408" s="16">
        <v>1.9900000000000001E-2</v>
      </c>
      <c r="G408" s="75">
        <v>3.9043000000000001E-2</v>
      </c>
    </row>
    <row r="409" spans="1:7" x14ac:dyDescent="0.25">
      <c r="A409" s="74" t="s">
        <v>1944</v>
      </c>
      <c r="B409" s="31" t="s">
        <v>1007</v>
      </c>
      <c r="C409" s="31" t="s">
        <v>197</v>
      </c>
      <c r="D409" s="14">
        <v>10000000</v>
      </c>
      <c r="E409" s="15">
        <v>9967.5</v>
      </c>
      <c r="F409" s="16">
        <v>1.61E-2</v>
      </c>
      <c r="G409" s="75">
        <v>3.5002999999999999E-2</v>
      </c>
    </row>
    <row r="410" spans="1:7" x14ac:dyDescent="0.25">
      <c r="A410" s="74" t="s">
        <v>1945</v>
      </c>
      <c r="B410" s="31" t="s">
        <v>1008</v>
      </c>
      <c r="C410" s="31" t="s">
        <v>197</v>
      </c>
      <c r="D410" s="14">
        <v>10000000</v>
      </c>
      <c r="E410" s="15">
        <v>9960.84</v>
      </c>
      <c r="F410" s="16">
        <v>1.61E-2</v>
      </c>
      <c r="G410" s="75">
        <v>3.4999000000000002E-2</v>
      </c>
    </row>
    <row r="411" spans="1:7" x14ac:dyDescent="0.25">
      <c r="A411" s="74" t="s">
        <v>1946</v>
      </c>
      <c r="B411" s="31" t="s">
        <v>1009</v>
      </c>
      <c r="C411" s="31" t="s">
        <v>197</v>
      </c>
      <c r="D411" s="14">
        <v>10000000</v>
      </c>
      <c r="E411" s="15">
        <v>9861.3700000000008</v>
      </c>
      <c r="F411" s="16">
        <v>1.5900000000000001E-2</v>
      </c>
      <c r="G411" s="75">
        <v>4.1049000000000002E-2</v>
      </c>
    </row>
    <row r="412" spans="1:7" x14ac:dyDescent="0.25">
      <c r="A412" s="74" t="s">
        <v>1947</v>
      </c>
      <c r="B412" s="31" t="s">
        <v>1010</v>
      </c>
      <c r="C412" s="31" t="s">
        <v>197</v>
      </c>
      <c r="D412" s="14">
        <v>10000000</v>
      </c>
      <c r="E412" s="15">
        <v>9655.1200000000008</v>
      </c>
      <c r="F412" s="16">
        <v>1.5599999999999999E-2</v>
      </c>
      <c r="G412" s="75">
        <v>4.4498000000000003E-2</v>
      </c>
    </row>
    <row r="413" spans="1:7" x14ac:dyDescent="0.25">
      <c r="A413" s="74" t="s">
        <v>1948</v>
      </c>
      <c r="B413" s="31" t="s">
        <v>1011</v>
      </c>
      <c r="C413" s="31" t="s">
        <v>197</v>
      </c>
      <c r="D413" s="14">
        <v>7500000</v>
      </c>
      <c r="E413" s="15">
        <v>7327.65</v>
      </c>
      <c r="F413" s="16">
        <v>1.18E-2</v>
      </c>
      <c r="G413" s="75">
        <v>4.2500000000000003E-2</v>
      </c>
    </row>
    <row r="414" spans="1:7" x14ac:dyDescent="0.25">
      <c r="A414" s="74" t="s">
        <v>1949</v>
      </c>
      <c r="B414" s="31" t="s">
        <v>1012</v>
      </c>
      <c r="C414" s="31" t="s">
        <v>197</v>
      </c>
      <c r="D414" s="14">
        <v>5000000</v>
      </c>
      <c r="E414" s="15">
        <v>4994.2299999999996</v>
      </c>
      <c r="F414" s="16">
        <v>8.0999999999999996E-3</v>
      </c>
      <c r="G414" s="75">
        <v>3.2466000000000002E-2</v>
      </c>
    </row>
    <row r="415" spans="1:7" x14ac:dyDescent="0.25">
      <c r="A415" s="74" t="s">
        <v>1950</v>
      </c>
      <c r="B415" s="31" t="s">
        <v>1013</v>
      </c>
      <c r="C415" s="31" t="s">
        <v>197</v>
      </c>
      <c r="D415" s="14">
        <v>500000</v>
      </c>
      <c r="E415" s="15">
        <v>483.55</v>
      </c>
      <c r="F415" s="16">
        <v>8.0000000000000004E-4</v>
      </c>
      <c r="G415" s="75">
        <v>4.4499999999999998E-2</v>
      </c>
    </row>
    <row r="416" spans="1:7" x14ac:dyDescent="0.25">
      <c r="A416" s="76" t="s">
        <v>90</v>
      </c>
      <c r="B416" s="32"/>
      <c r="C416" s="32"/>
      <c r="D416" s="18"/>
      <c r="E416" s="35">
        <v>76966.22</v>
      </c>
      <c r="F416" s="36">
        <v>0.12429999999999999</v>
      </c>
      <c r="G416" s="77"/>
    </row>
    <row r="417" spans="1:7" x14ac:dyDescent="0.25">
      <c r="A417" s="74"/>
      <c r="B417" s="31"/>
      <c r="C417" s="31"/>
      <c r="D417" s="14"/>
      <c r="E417" s="15"/>
      <c r="F417" s="16"/>
      <c r="G417" s="75"/>
    </row>
    <row r="418" spans="1:7" x14ac:dyDescent="0.25">
      <c r="A418" s="76" t="s">
        <v>103</v>
      </c>
      <c r="B418" s="31"/>
      <c r="C418" s="31"/>
      <c r="D418" s="14"/>
      <c r="E418" s="15"/>
      <c r="F418" s="16"/>
      <c r="G418" s="75"/>
    </row>
    <row r="419" spans="1:7" x14ac:dyDescent="0.25">
      <c r="A419" s="74" t="s">
        <v>1951</v>
      </c>
      <c r="B419" s="31" t="s">
        <v>1014</v>
      </c>
      <c r="C419" s="31" t="s">
        <v>1015</v>
      </c>
      <c r="D419" s="14">
        <v>15000000</v>
      </c>
      <c r="E419" s="15">
        <v>14537.69</v>
      </c>
      <c r="F419" s="16">
        <v>2.35E-2</v>
      </c>
      <c r="G419" s="75">
        <v>5.0249000000000002E-2</v>
      </c>
    </row>
    <row r="420" spans="1:7" x14ac:dyDescent="0.25">
      <c r="A420" s="76" t="s">
        <v>90</v>
      </c>
      <c r="B420" s="32"/>
      <c r="C420" s="32"/>
      <c r="D420" s="18"/>
      <c r="E420" s="35">
        <v>14537.69</v>
      </c>
      <c r="F420" s="36">
        <v>2.35E-2</v>
      </c>
      <c r="G420" s="77"/>
    </row>
    <row r="421" spans="1:7" x14ac:dyDescent="0.25">
      <c r="A421" s="74"/>
      <c r="B421" s="31"/>
      <c r="C421" s="31"/>
      <c r="D421" s="14"/>
      <c r="E421" s="15"/>
      <c r="F421" s="16"/>
      <c r="G421" s="75"/>
    </row>
    <row r="422" spans="1:7" x14ac:dyDescent="0.25">
      <c r="A422" s="78" t="s">
        <v>93</v>
      </c>
      <c r="B422" s="79"/>
      <c r="C422" s="79"/>
      <c r="D422" s="80"/>
      <c r="E422" s="35">
        <v>91503.91</v>
      </c>
      <c r="F422" s="36">
        <v>0.14779999999999999</v>
      </c>
      <c r="G422" s="77"/>
    </row>
    <row r="423" spans="1:7" x14ac:dyDescent="0.25">
      <c r="A423" s="74"/>
      <c r="B423" s="31"/>
      <c r="C423" s="31"/>
      <c r="D423" s="14"/>
      <c r="E423" s="15"/>
      <c r="F423" s="16"/>
      <c r="G423" s="75"/>
    </row>
    <row r="424" spans="1:7" x14ac:dyDescent="0.25">
      <c r="A424" s="74"/>
      <c r="B424" s="31"/>
      <c r="C424" s="31"/>
      <c r="D424" s="14"/>
      <c r="E424" s="15"/>
      <c r="F424" s="16"/>
      <c r="G424" s="75"/>
    </row>
    <row r="425" spans="1:7" x14ac:dyDescent="0.25">
      <c r="A425" s="76" t="s">
        <v>110</v>
      </c>
      <c r="B425" s="31"/>
      <c r="C425" s="31"/>
      <c r="D425" s="14"/>
      <c r="E425" s="15"/>
      <c r="F425" s="16"/>
      <c r="G425" s="75"/>
    </row>
    <row r="426" spans="1:7" x14ac:dyDescent="0.25">
      <c r="A426" s="74" t="s">
        <v>111</v>
      </c>
      <c r="B426" s="31"/>
      <c r="C426" s="31"/>
      <c r="D426" s="14"/>
      <c r="E426" s="15">
        <v>24822.26</v>
      </c>
      <c r="F426" s="16">
        <v>4.0099999999999997E-2</v>
      </c>
      <c r="G426" s="75">
        <v>3.5790000000000002E-2</v>
      </c>
    </row>
    <row r="427" spans="1:7" x14ac:dyDescent="0.25">
      <c r="A427" s="76" t="s">
        <v>90</v>
      </c>
      <c r="B427" s="32"/>
      <c r="C427" s="32"/>
      <c r="D427" s="18"/>
      <c r="E427" s="35">
        <v>24822.26</v>
      </c>
      <c r="F427" s="36">
        <v>4.0099999999999997E-2</v>
      </c>
      <c r="G427" s="77"/>
    </row>
    <row r="428" spans="1:7" x14ac:dyDescent="0.25">
      <c r="A428" s="74"/>
      <c r="B428" s="31"/>
      <c r="C428" s="31"/>
      <c r="D428" s="14"/>
      <c r="E428" s="15"/>
      <c r="F428" s="16"/>
      <c r="G428" s="75"/>
    </row>
    <row r="429" spans="1:7" x14ac:dyDescent="0.25">
      <c r="A429" s="78" t="s">
        <v>93</v>
      </c>
      <c r="B429" s="79"/>
      <c r="C429" s="79"/>
      <c r="D429" s="80"/>
      <c r="E429" s="35">
        <v>24822.26</v>
      </c>
      <c r="F429" s="36">
        <v>4.0099999999999997E-2</v>
      </c>
      <c r="G429" s="77"/>
    </row>
    <row r="430" spans="1:7" x14ac:dyDescent="0.25">
      <c r="A430" s="74" t="s">
        <v>112</v>
      </c>
      <c r="B430" s="31"/>
      <c r="C430" s="31"/>
      <c r="D430" s="14"/>
      <c r="E430" s="15">
        <v>1655.9152586</v>
      </c>
      <c r="F430" s="16">
        <v>2.6719999999999999E-3</v>
      </c>
      <c r="G430" s="75"/>
    </row>
    <row r="431" spans="1:7" x14ac:dyDescent="0.25">
      <c r="A431" s="74" t="s">
        <v>113</v>
      </c>
      <c r="B431" s="31"/>
      <c r="C431" s="31"/>
      <c r="D431" s="14"/>
      <c r="E431" s="15">
        <v>2377.0447414</v>
      </c>
      <c r="F431" s="16">
        <v>3.9280000000000001E-3</v>
      </c>
      <c r="G431" s="75">
        <v>3.5790000000000002E-2</v>
      </c>
    </row>
    <row r="432" spans="1:7" x14ac:dyDescent="0.25">
      <c r="A432" s="81" t="s">
        <v>114</v>
      </c>
      <c r="B432" s="34"/>
      <c r="C432" s="34"/>
      <c r="D432" s="27"/>
      <c r="E432" s="28">
        <v>619676.29</v>
      </c>
      <c r="F432" s="29">
        <v>1</v>
      </c>
      <c r="G432" s="82"/>
    </row>
    <row r="433" spans="1:11" x14ac:dyDescent="0.25">
      <c r="A433" s="54"/>
      <c r="B433" s="56"/>
      <c r="C433" s="56"/>
      <c r="D433" s="56"/>
      <c r="E433" s="56"/>
      <c r="F433" s="56"/>
      <c r="G433" s="66"/>
    </row>
    <row r="434" spans="1:11" x14ac:dyDescent="0.25">
      <c r="A434" s="83" t="s">
        <v>1016</v>
      </c>
      <c r="B434" s="56"/>
      <c r="C434" s="56"/>
      <c r="D434" s="56"/>
      <c r="E434" s="56"/>
      <c r="F434" s="56"/>
      <c r="G434" s="66"/>
    </row>
    <row r="435" spans="1:11" x14ac:dyDescent="0.25">
      <c r="A435" s="83" t="s">
        <v>116</v>
      </c>
      <c r="B435" s="56"/>
      <c r="C435" s="56"/>
      <c r="D435" s="56"/>
      <c r="E435" s="56"/>
      <c r="F435" s="56"/>
      <c r="G435" s="66"/>
    </row>
    <row r="436" spans="1:11" x14ac:dyDescent="0.25">
      <c r="A436" s="83" t="s">
        <v>2023</v>
      </c>
      <c r="B436" s="56"/>
      <c r="C436" s="56"/>
      <c r="D436" s="56"/>
      <c r="E436" s="56"/>
      <c r="F436" s="56"/>
      <c r="G436" s="66"/>
    </row>
    <row r="437" spans="1:11" x14ac:dyDescent="0.25">
      <c r="A437" s="83"/>
      <c r="B437" s="56"/>
      <c r="C437" s="56"/>
      <c r="D437" s="56"/>
      <c r="E437" s="56"/>
      <c r="F437" s="56"/>
      <c r="G437" s="66"/>
    </row>
    <row r="438" spans="1:11" x14ac:dyDescent="0.25">
      <c r="A438" s="83" t="s">
        <v>1476</v>
      </c>
      <c r="B438" s="56"/>
      <c r="C438" s="56"/>
      <c r="D438" s="56"/>
      <c r="E438" s="56"/>
      <c r="F438" s="56"/>
      <c r="G438" s="66"/>
    </row>
    <row r="439" spans="1:11" x14ac:dyDescent="0.25">
      <c r="A439" s="84" t="s">
        <v>1477</v>
      </c>
      <c r="B439" s="85" t="s">
        <v>85</v>
      </c>
      <c r="C439" s="56"/>
      <c r="D439" s="56"/>
      <c r="E439" s="56"/>
      <c r="F439" s="56"/>
      <c r="G439" s="66"/>
    </row>
    <row r="440" spans="1:11" x14ac:dyDescent="0.25">
      <c r="A440" s="54" t="s">
        <v>1626</v>
      </c>
      <c r="B440" s="56"/>
      <c r="C440" s="56"/>
      <c r="D440" s="56"/>
      <c r="E440" s="56"/>
      <c r="F440" s="56"/>
      <c r="G440" s="66"/>
    </row>
    <row r="441" spans="1:11" x14ac:dyDescent="0.25">
      <c r="A441" s="54" t="s">
        <v>1478</v>
      </c>
      <c r="B441" s="85" t="s">
        <v>1479</v>
      </c>
      <c r="C441" s="85" t="s">
        <v>1479</v>
      </c>
      <c r="D441" s="56"/>
      <c r="E441" s="56"/>
      <c r="F441" s="56"/>
      <c r="G441" s="66"/>
    </row>
    <row r="442" spans="1:11" x14ac:dyDescent="0.25">
      <c r="A442" s="54"/>
      <c r="B442" s="86">
        <v>44469</v>
      </c>
      <c r="C442" s="86">
        <v>44651</v>
      </c>
      <c r="D442" s="56"/>
      <c r="E442" s="56"/>
      <c r="F442" s="56"/>
      <c r="G442" s="66"/>
    </row>
    <row r="443" spans="1:11" x14ac:dyDescent="0.25">
      <c r="A443" s="54" t="s">
        <v>1483</v>
      </c>
      <c r="B443" s="101">
        <v>16.1218</v>
      </c>
      <c r="C443" s="56">
        <v>16.483499999999999</v>
      </c>
      <c r="D443" s="56"/>
      <c r="E443" s="59"/>
      <c r="F443" s="56"/>
      <c r="G443" s="87"/>
      <c r="I443" s="56"/>
    </row>
    <row r="444" spans="1:11" x14ac:dyDescent="0.25">
      <c r="A444" s="54" t="s">
        <v>1484</v>
      </c>
      <c r="B444" s="101">
        <v>11.525</v>
      </c>
      <c r="C444" s="56">
        <v>11.7836</v>
      </c>
      <c r="D444" s="56"/>
      <c r="E444" s="59"/>
      <c r="F444" s="56"/>
      <c r="G444" s="87"/>
      <c r="I444" s="56"/>
      <c r="K444" s="58"/>
    </row>
    <row r="445" spans="1:11" x14ac:dyDescent="0.25">
      <c r="A445" s="54" t="s">
        <v>1500</v>
      </c>
      <c r="B445" s="101">
        <v>13.2439</v>
      </c>
      <c r="C445" s="101">
        <v>13.541</v>
      </c>
      <c r="D445" s="56"/>
      <c r="E445" s="59"/>
      <c r="F445" s="56"/>
      <c r="G445" s="87"/>
      <c r="I445" s="56"/>
    </row>
    <row r="446" spans="1:11" x14ac:dyDescent="0.25">
      <c r="A446" s="54" t="s">
        <v>1492</v>
      </c>
      <c r="B446" s="101">
        <v>15.4252</v>
      </c>
      <c r="C446" s="101">
        <v>15.715400000000001</v>
      </c>
      <c r="D446" s="56"/>
      <c r="E446" s="59"/>
      <c r="F446" s="56"/>
      <c r="G446" s="87"/>
      <c r="I446" s="56"/>
    </row>
    <row r="447" spans="1:11" x14ac:dyDescent="0.25">
      <c r="A447" s="54" t="s">
        <v>1503</v>
      </c>
      <c r="B447" s="101">
        <v>15.4224</v>
      </c>
      <c r="C447" s="101">
        <v>15.712</v>
      </c>
      <c r="D447" s="56"/>
      <c r="E447" s="59"/>
      <c r="F447" s="56"/>
      <c r="G447" s="87"/>
      <c r="I447" s="56"/>
    </row>
    <row r="448" spans="1:11" x14ac:dyDescent="0.25">
      <c r="A448" s="54" t="s">
        <v>1504</v>
      </c>
      <c r="B448" s="101">
        <v>11.3171</v>
      </c>
      <c r="C448" s="56">
        <v>11.5296</v>
      </c>
      <c r="D448" s="56"/>
      <c r="E448" s="59"/>
      <c r="F448" s="56"/>
      <c r="G448" s="87"/>
      <c r="I448" s="56"/>
    </row>
    <row r="449" spans="1:9" x14ac:dyDescent="0.25">
      <c r="A449" s="54" t="s">
        <v>1505</v>
      </c>
      <c r="B449" s="101">
        <v>12.5998</v>
      </c>
      <c r="C449" s="56">
        <v>12.836399999999999</v>
      </c>
      <c r="D449" s="56"/>
      <c r="E449" s="59"/>
      <c r="F449" s="56"/>
      <c r="G449" s="87"/>
      <c r="I449" s="56"/>
    </row>
    <row r="450" spans="1:9" x14ac:dyDescent="0.25">
      <c r="A450" s="54"/>
      <c r="B450" s="56"/>
      <c r="C450" s="56"/>
      <c r="D450" s="56"/>
      <c r="E450" s="59"/>
      <c r="F450" s="56"/>
      <c r="G450" s="87"/>
    </row>
    <row r="451" spans="1:9" x14ac:dyDescent="0.25">
      <c r="A451" s="54" t="s">
        <v>2006</v>
      </c>
      <c r="B451" s="85" t="s">
        <v>85</v>
      </c>
      <c r="C451" s="56"/>
      <c r="D451" s="56"/>
      <c r="E451" s="56"/>
      <c r="F451" s="56"/>
      <c r="G451" s="66"/>
    </row>
    <row r="452" spans="1:9" x14ac:dyDescent="0.25">
      <c r="A452" s="54" t="s">
        <v>2008</v>
      </c>
      <c r="B452" s="85" t="s">
        <v>85</v>
      </c>
      <c r="C452" s="56"/>
      <c r="D452" s="56"/>
      <c r="E452" s="56"/>
      <c r="F452" s="56"/>
      <c r="G452" s="66"/>
    </row>
    <row r="453" spans="1:9" x14ac:dyDescent="0.25">
      <c r="A453" s="84" t="s">
        <v>2009</v>
      </c>
      <c r="B453" s="85" t="s">
        <v>85</v>
      </c>
      <c r="C453" s="56"/>
      <c r="D453" s="56"/>
      <c r="E453" s="56"/>
      <c r="F453" s="56"/>
      <c r="G453" s="66"/>
    </row>
    <row r="454" spans="1:9" x14ac:dyDescent="0.25">
      <c r="A454" s="84" t="s">
        <v>2010</v>
      </c>
      <c r="B454" s="85" t="s">
        <v>85</v>
      </c>
      <c r="C454" s="56"/>
      <c r="D454" s="56"/>
      <c r="E454" s="56"/>
      <c r="F454" s="56"/>
      <c r="G454" s="66"/>
    </row>
    <row r="455" spans="1:9" x14ac:dyDescent="0.25">
      <c r="A455" s="54" t="s">
        <v>1529</v>
      </c>
      <c r="B455" s="88">
        <v>14.578424</v>
      </c>
      <c r="C455" s="56"/>
      <c r="D455" s="56"/>
      <c r="E455" s="56"/>
      <c r="F455" s="56"/>
      <c r="G455" s="66"/>
    </row>
    <row r="456" spans="1:9" ht="30" x14ac:dyDescent="0.25">
      <c r="A456" s="84" t="s">
        <v>2011</v>
      </c>
      <c r="B456" s="85" t="s">
        <v>85</v>
      </c>
      <c r="C456" s="56"/>
      <c r="D456" s="56"/>
      <c r="E456" s="56"/>
      <c r="F456" s="56"/>
      <c r="G456" s="66"/>
    </row>
    <row r="457" spans="1:9" ht="30" x14ac:dyDescent="0.25">
      <c r="A457" s="84" t="s">
        <v>1495</v>
      </c>
      <c r="B457" s="85" t="s">
        <v>85</v>
      </c>
      <c r="C457" s="56"/>
      <c r="D457" s="56"/>
      <c r="E457" s="56"/>
      <c r="F457" s="56"/>
      <c r="G457" s="66"/>
    </row>
    <row r="458" spans="1:9" x14ac:dyDescent="0.25">
      <c r="A458" s="54" t="s">
        <v>1607</v>
      </c>
      <c r="B458" s="85" t="s">
        <v>85</v>
      </c>
      <c r="C458" s="56"/>
      <c r="D458" s="56"/>
      <c r="E458" s="56"/>
      <c r="F458" s="56"/>
      <c r="G458" s="66"/>
    </row>
    <row r="459" spans="1:9" x14ac:dyDescent="0.25">
      <c r="A459" s="54" t="s">
        <v>1608</v>
      </c>
      <c r="B459" s="85" t="s">
        <v>85</v>
      </c>
      <c r="C459" s="56"/>
      <c r="D459" s="56"/>
      <c r="E459" s="56"/>
      <c r="F459" s="56"/>
      <c r="G459" s="66"/>
    </row>
    <row r="460" spans="1:9" ht="15.75" thickBot="1" x14ac:dyDescent="0.3">
      <c r="A460" s="89"/>
      <c r="B460" s="90"/>
      <c r="C460" s="90"/>
      <c r="D460" s="90"/>
      <c r="E460" s="90"/>
      <c r="F460" s="90"/>
      <c r="G460" s="91"/>
    </row>
    <row r="462" spans="1:9" ht="30" x14ac:dyDescent="0.25">
      <c r="A462" s="107" t="s">
        <v>2042</v>
      </c>
      <c r="B462" s="108" t="s">
        <v>2043</v>
      </c>
      <c r="C462" s="108" t="s">
        <v>2044</v>
      </c>
      <c r="D462" s="109" t="s">
        <v>2045</v>
      </c>
    </row>
    <row r="463" spans="1:9" ht="44.25" customHeight="1" x14ac:dyDescent="0.25">
      <c r="A463" s="110" t="str">
        <f>HYPERLINK("[EDEL_Portfolio Monthly 31-Mar-2022.xlsx]EEARBF!A1","Edelweiss Arbitrage Fund")</f>
        <v>Edelweiss Arbitrage Fund</v>
      </c>
      <c r="B463" s="111"/>
      <c r="C463" s="111" t="s">
        <v>2059</v>
      </c>
      <c r="D463" s="111"/>
    </row>
  </sheetData>
  <mergeCells count="2">
    <mergeCell ref="A3:G3"/>
    <mergeCell ref="A4:G4"/>
  </mergeCells>
  <pageMargins left="0.7" right="0.7" top="0.75" bottom="0.75" header="0.3" footer="0.3"/>
  <pageSetup orientation="portrait" horizontalDpi="300" verticalDpi="3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290"/>
  <sheetViews>
    <sheetView showGridLines="0" topLeftCell="B1" workbookViewId="0">
      <pane ySplit="6" topLeftCell="A37" activePane="bottomLeft" state="frozen"/>
      <selection activeCell="J3" sqref="J3"/>
      <selection pane="bottomLeft" activeCell="J3" sqref="J3"/>
    </sheetView>
  </sheetViews>
  <sheetFormatPr defaultRowHeight="15" x14ac:dyDescent="0.25"/>
  <cols>
    <col min="1" max="1" width="82" bestFit="1" customWidth="1"/>
    <col min="2" max="2" width="19.7109375" customWidth="1"/>
    <col min="3" max="3" width="45.5703125" bestFit="1"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40</v>
      </c>
      <c r="B3" s="139"/>
      <c r="C3" s="139"/>
      <c r="D3" s="139"/>
      <c r="E3" s="139"/>
      <c r="F3" s="139"/>
      <c r="G3" s="140"/>
      <c r="H3" s="46" t="str">
        <f>HYPERLINK("[EDEL_Portfolio HY 31032022.xlsx]Index!A1","Index")</f>
        <v>Index</v>
      </c>
    </row>
    <row r="4" spans="1:8" ht="19.5" customHeight="1" x14ac:dyDescent="0.25">
      <c r="A4" s="141" t="s">
        <v>41</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6" t="s">
        <v>84</v>
      </c>
      <c r="B8" s="31"/>
      <c r="C8" s="31"/>
      <c r="D8" s="14"/>
      <c r="E8" s="15"/>
      <c r="F8" s="16"/>
      <c r="G8" s="75"/>
    </row>
    <row r="9" spans="1:8" x14ac:dyDescent="0.25">
      <c r="A9" s="76" t="s">
        <v>435</v>
      </c>
      <c r="B9" s="31"/>
      <c r="C9" s="31"/>
      <c r="D9" s="14"/>
      <c r="E9" s="15"/>
      <c r="F9" s="16"/>
      <c r="G9" s="75"/>
    </row>
    <row r="10" spans="1:8" x14ac:dyDescent="0.25">
      <c r="A10" s="74" t="s">
        <v>438</v>
      </c>
      <c r="B10" s="31" t="s">
        <v>439</v>
      </c>
      <c r="C10" s="31" t="s">
        <v>440</v>
      </c>
      <c r="D10" s="14">
        <v>1880678</v>
      </c>
      <c r="E10" s="15">
        <v>49551.16</v>
      </c>
      <c r="F10" s="16">
        <v>6.3200000000000006E-2</v>
      </c>
      <c r="G10" s="75"/>
    </row>
    <row r="11" spans="1:8" x14ac:dyDescent="0.25">
      <c r="A11" s="74" t="s">
        <v>622</v>
      </c>
      <c r="B11" s="31" t="s">
        <v>623</v>
      </c>
      <c r="C11" s="31" t="s">
        <v>465</v>
      </c>
      <c r="D11" s="14">
        <v>6049335</v>
      </c>
      <c r="E11" s="15">
        <v>44178.29</v>
      </c>
      <c r="F11" s="16">
        <v>5.6300000000000003E-2</v>
      </c>
      <c r="G11" s="75"/>
    </row>
    <row r="12" spans="1:8" x14ac:dyDescent="0.25">
      <c r="A12" s="74" t="s">
        <v>1017</v>
      </c>
      <c r="B12" s="31" t="s">
        <v>1018</v>
      </c>
      <c r="C12" s="31" t="s">
        <v>2032</v>
      </c>
      <c r="D12" s="14">
        <v>2133746</v>
      </c>
      <c r="E12" s="15">
        <v>36078.44</v>
      </c>
      <c r="F12" s="16">
        <v>4.5999999999999999E-2</v>
      </c>
      <c r="G12" s="75"/>
    </row>
    <row r="13" spans="1:8" x14ac:dyDescent="0.25">
      <c r="A13" s="74" t="s">
        <v>472</v>
      </c>
      <c r="B13" s="31" t="s">
        <v>473</v>
      </c>
      <c r="C13" s="31" t="s">
        <v>2027</v>
      </c>
      <c r="D13" s="14">
        <v>1741494</v>
      </c>
      <c r="E13" s="15">
        <v>33207.68</v>
      </c>
      <c r="F13" s="16">
        <v>4.2299999999999997E-2</v>
      </c>
      <c r="G13" s="75"/>
    </row>
    <row r="14" spans="1:8" x14ac:dyDescent="0.25">
      <c r="A14" s="74" t="s">
        <v>549</v>
      </c>
      <c r="B14" s="31" t="s">
        <v>550</v>
      </c>
      <c r="C14" s="31" t="s">
        <v>465</v>
      </c>
      <c r="D14" s="14">
        <v>2092063</v>
      </c>
      <c r="E14" s="15">
        <v>30760.65</v>
      </c>
      <c r="F14" s="16">
        <v>3.9199999999999999E-2</v>
      </c>
      <c r="G14" s="75"/>
    </row>
    <row r="15" spans="1:8" x14ac:dyDescent="0.25">
      <c r="A15" s="74" t="s">
        <v>481</v>
      </c>
      <c r="B15" s="31" t="s">
        <v>482</v>
      </c>
      <c r="C15" s="31" t="s">
        <v>465</v>
      </c>
      <c r="D15" s="14">
        <v>3959334</v>
      </c>
      <c r="E15" s="15">
        <v>30136.47</v>
      </c>
      <c r="F15" s="16">
        <v>3.8399999999999997E-2</v>
      </c>
      <c r="G15" s="75"/>
    </row>
    <row r="16" spans="1:8" x14ac:dyDescent="0.25">
      <c r="A16" s="74" t="s">
        <v>537</v>
      </c>
      <c r="B16" s="31" t="s">
        <v>538</v>
      </c>
      <c r="C16" s="31" t="s">
        <v>465</v>
      </c>
      <c r="D16" s="14">
        <v>4449468</v>
      </c>
      <c r="E16" s="15">
        <v>21960.35</v>
      </c>
      <c r="F16" s="16">
        <v>2.8000000000000001E-2</v>
      </c>
      <c r="G16" s="75"/>
    </row>
    <row r="17" spans="1:7" x14ac:dyDescent="0.25">
      <c r="A17" s="74" t="s">
        <v>584</v>
      </c>
      <c r="B17" s="31" t="s">
        <v>585</v>
      </c>
      <c r="C17" s="31" t="s">
        <v>2027</v>
      </c>
      <c r="D17" s="14">
        <v>498178</v>
      </c>
      <c r="E17" s="15">
        <v>18631.61</v>
      </c>
      <c r="F17" s="16">
        <v>2.3800000000000002E-2</v>
      </c>
      <c r="G17" s="75"/>
    </row>
    <row r="18" spans="1:7" x14ac:dyDescent="0.25">
      <c r="A18" s="74" t="s">
        <v>492</v>
      </c>
      <c r="B18" s="31" t="s">
        <v>493</v>
      </c>
      <c r="C18" s="31" t="s">
        <v>2029</v>
      </c>
      <c r="D18" s="14">
        <v>844269</v>
      </c>
      <c r="E18" s="15">
        <v>14923.72</v>
      </c>
      <c r="F18" s="16">
        <v>1.9E-2</v>
      </c>
      <c r="G18" s="75"/>
    </row>
    <row r="19" spans="1:7" x14ac:dyDescent="0.25">
      <c r="A19" s="74" t="s">
        <v>448</v>
      </c>
      <c r="B19" s="31" t="s">
        <v>449</v>
      </c>
      <c r="C19" s="31" t="s">
        <v>450</v>
      </c>
      <c r="D19" s="14">
        <v>599870</v>
      </c>
      <c r="E19" s="15">
        <v>14339.29</v>
      </c>
      <c r="F19" s="16">
        <v>1.83E-2</v>
      </c>
      <c r="G19" s="75"/>
    </row>
    <row r="20" spans="1:7" x14ac:dyDescent="0.25">
      <c r="A20" s="74" t="s">
        <v>441</v>
      </c>
      <c r="B20" s="31" t="s">
        <v>442</v>
      </c>
      <c r="C20" s="31" t="s">
        <v>443</v>
      </c>
      <c r="D20" s="14">
        <v>1749955</v>
      </c>
      <c r="E20" s="15">
        <v>13211.29</v>
      </c>
      <c r="F20" s="16">
        <v>1.6799999999999999E-2</v>
      </c>
      <c r="G20" s="75"/>
    </row>
    <row r="21" spans="1:7" x14ac:dyDescent="0.25">
      <c r="A21" s="74" t="s">
        <v>470</v>
      </c>
      <c r="B21" s="31" t="s">
        <v>471</v>
      </c>
      <c r="C21" s="31" t="s">
        <v>456</v>
      </c>
      <c r="D21" s="14">
        <v>879388</v>
      </c>
      <c r="E21" s="15">
        <v>11495.36</v>
      </c>
      <c r="F21" s="16">
        <v>1.47E-2</v>
      </c>
      <c r="G21" s="75"/>
    </row>
    <row r="22" spans="1:7" x14ac:dyDescent="0.25">
      <c r="A22" s="74" t="s">
        <v>504</v>
      </c>
      <c r="B22" s="31" t="s">
        <v>505</v>
      </c>
      <c r="C22" s="31" t="s">
        <v>2028</v>
      </c>
      <c r="D22" s="14">
        <v>4573553</v>
      </c>
      <c r="E22" s="15">
        <v>11463.61</v>
      </c>
      <c r="F22" s="16">
        <v>1.46E-2</v>
      </c>
      <c r="G22" s="75"/>
    </row>
    <row r="23" spans="1:7" x14ac:dyDescent="0.25">
      <c r="A23" s="74" t="s">
        <v>735</v>
      </c>
      <c r="B23" s="31" t="s">
        <v>736</v>
      </c>
      <c r="C23" s="31" t="s">
        <v>487</v>
      </c>
      <c r="D23" s="14">
        <v>60322</v>
      </c>
      <c r="E23" s="15">
        <v>10291.200000000001</v>
      </c>
      <c r="F23" s="16">
        <v>1.3100000000000001E-2</v>
      </c>
      <c r="G23" s="75"/>
    </row>
    <row r="24" spans="1:7" x14ac:dyDescent="0.25">
      <c r="A24" s="74" t="s">
        <v>463</v>
      </c>
      <c r="B24" s="31" t="s">
        <v>464</v>
      </c>
      <c r="C24" s="31" t="s">
        <v>465</v>
      </c>
      <c r="D24" s="14">
        <v>585731</v>
      </c>
      <c r="E24" s="15">
        <v>10272.84</v>
      </c>
      <c r="F24" s="16">
        <v>1.3100000000000001E-2</v>
      </c>
      <c r="G24" s="75"/>
    </row>
    <row r="25" spans="1:7" x14ac:dyDescent="0.25">
      <c r="A25" s="74" t="s">
        <v>490</v>
      </c>
      <c r="B25" s="31" t="s">
        <v>491</v>
      </c>
      <c r="C25" s="31" t="s">
        <v>450</v>
      </c>
      <c r="D25" s="14">
        <v>134218</v>
      </c>
      <c r="E25" s="15">
        <v>9744.16</v>
      </c>
      <c r="F25" s="16">
        <v>1.24E-2</v>
      </c>
      <c r="G25" s="75"/>
    </row>
    <row r="26" spans="1:7" x14ac:dyDescent="0.25">
      <c r="A26" s="74" t="s">
        <v>582</v>
      </c>
      <c r="B26" s="31" t="s">
        <v>583</v>
      </c>
      <c r="C26" s="31" t="s">
        <v>2032</v>
      </c>
      <c r="D26" s="14">
        <v>122723</v>
      </c>
      <c r="E26" s="15">
        <v>9279.4500000000007</v>
      </c>
      <c r="F26" s="16">
        <v>1.18E-2</v>
      </c>
      <c r="G26" s="75"/>
    </row>
    <row r="27" spans="1:7" x14ac:dyDescent="0.25">
      <c r="A27" s="74" t="s">
        <v>483</v>
      </c>
      <c r="B27" s="31" t="s">
        <v>484</v>
      </c>
      <c r="C27" s="31" t="s">
        <v>2028</v>
      </c>
      <c r="D27" s="14">
        <v>408096</v>
      </c>
      <c r="E27" s="15">
        <v>8360.4599999999991</v>
      </c>
      <c r="F27" s="16">
        <v>1.0699999999999999E-2</v>
      </c>
      <c r="G27" s="75"/>
    </row>
    <row r="28" spans="1:7" x14ac:dyDescent="0.25">
      <c r="A28" s="74" t="s">
        <v>510</v>
      </c>
      <c r="B28" s="31" t="s">
        <v>511</v>
      </c>
      <c r="C28" s="31" t="s">
        <v>2027</v>
      </c>
      <c r="D28" s="14">
        <v>707226</v>
      </c>
      <c r="E28" s="15">
        <v>8230.34</v>
      </c>
      <c r="F28" s="16">
        <v>1.0500000000000001E-2</v>
      </c>
      <c r="G28" s="75"/>
    </row>
    <row r="29" spans="1:7" x14ac:dyDescent="0.25">
      <c r="A29" s="74" t="s">
        <v>629</v>
      </c>
      <c r="B29" s="31" t="s">
        <v>630</v>
      </c>
      <c r="C29" s="31" t="s">
        <v>459</v>
      </c>
      <c r="D29" s="14">
        <v>4779885</v>
      </c>
      <c r="E29" s="15">
        <v>6452.84</v>
      </c>
      <c r="F29" s="16">
        <v>8.2000000000000007E-3</v>
      </c>
      <c r="G29" s="75"/>
    </row>
    <row r="30" spans="1:7" x14ac:dyDescent="0.25">
      <c r="A30" s="74" t="s">
        <v>657</v>
      </c>
      <c r="B30" s="31" t="s">
        <v>658</v>
      </c>
      <c r="C30" s="31" t="s">
        <v>480</v>
      </c>
      <c r="D30" s="14">
        <v>90960</v>
      </c>
      <c r="E30" s="15">
        <v>6005.45</v>
      </c>
      <c r="F30" s="16">
        <v>7.7000000000000002E-3</v>
      </c>
      <c r="G30" s="75"/>
    </row>
    <row r="31" spans="1:7" x14ac:dyDescent="0.25">
      <c r="A31" s="74" t="s">
        <v>543</v>
      </c>
      <c r="B31" s="31" t="s">
        <v>544</v>
      </c>
      <c r="C31" s="31" t="s">
        <v>2026</v>
      </c>
      <c r="D31" s="14">
        <v>3637496</v>
      </c>
      <c r="E31" s="15">
        <v>5912.75</v>
      </c>
      <c r="F31" s="16">
        <v>7.4999999999999997E-3</v>
      </c>
      <c r="G31" s="75"/>
    </row>
    <row r="32" spans="1:7" x14ac:dyDescent="0.25">
      <c r="A32" s="74" t="s">
        <v>777</v>
      </c>
      <c r="B32" s="31" t="s">
        <v>778</v>
      </c>
      <c r="C32" s="31" t="s">
        <v>1429</v>
      </c>
      <c r="D32" s="14">
        <v>134068</v>
      </c>
      <c r="E32" s="15">
        <v>5901.74</v>
      </c>
      <c r="F32" s="16">
        <v>7.4999999999999997E-3</v>
      </c>
      <c r="G32" s="75"/>
    </row>
    <row r="33" spans="1:7" x14ac:dyDescent="0.25">
      <c r="A33" s="74" t="s">
        <v>561</v>
      </c>
      <c r="B33" s="31" t="s">
        <v>562</v>
      </c>
      <c r="C33" s="31" t="s">
        <v>487</v>
      </c>
      <c r="D33" s="14">
        <v>521001</v>
      </c>
      <c r="E33" s="15">
        <v>5842.77</v>
      </c>
      <c r="F33" s="16">
        <v>7.4000000000000003E-3</v>
      </c>
      <c r="G33" s="75"/>
    </row>
    <row r="34" spans="1:7" x14ac:dyDescent="0.25">
      <c r="A34" s="74" t="s">
        <v>1019</v>
      </c>
      <c r="B34" s="31" t="s">
        <v>1020</v>
      </c>
      <c r="C34" s="31" t="s">
        <v>1429</v>
      </c>
      <c r="D34" s="14">
        <v>173837</v>
      </c>
      <c r="E34" s="15">
        <v>5689.08</v>
      </c>
      <c r="F34" s="16">
        <v>7.3000000000000001E-3</v>
      </c>
      <c r="G34" s="75"/>
    </row>
    <row r="35" spans="1:7" x14ac:dyDescent="0.25">
      <c r="A35" s="74" t="s">
        <v>454</v>
      </c>
      <c r="B35" s="31" t="s">
        <v>455</v>
      </c>
      <c r="C35" s="31" t="s">
        <v>456</v>
      </c>
      <c r="D35" s="14">
        <v>5601062</v>
      </c>
      <c r="E35" s="15">
        <v>5519.85</v>
      </c>
      <c r="F35" s="16">
        <v>7.0000000000000001E-3</v>
      </c>
      <c r="G35" s="75"/>
    </row>
    <row r="36" spans="1:7" x14ac:dyDescent="0.25">
      <c r="A36" s="74" t="s">
        <v>508</v>
      </c>
      <c r="B36" s="31" t="s">
        <v>509</v>
      </c>
      <c r="C36" s="31" t="s">
        <v>462</v>
      </c>
      <c r="D36" s="14">
        <v>929893</v>
      </c>
      <c r="E36" s="15">
        <v>5295.74</v>
      </c>
      <c r="F36" s="16">
        <v>6.7999999999999996E-3</v>
      </c>
      <c r="G36" s="75"/>
    </row>
    <row r="37" spans="1:7" x14ac:dyDescent="0.25">
      <c r="A37" s="74" t="s">
        <v>737</v>
      </c>
      <c r="B37" s="31" t="s">
        <v>738</v>
      </c>
      <c r="C37" s="31" t="s">
        <v>2027</v>
      </c>
      <c r="D37" s="14">
        <v>109996</v>
      </c>
      <c r="E37" s="15">
        <v>5241.6400000000003</v>
      </c>
      <c r="F37" s="16">
        <v>6.7000000000000002E-3</v>
      </c>
      <c r="G37" s="75"/>
    </row>
    <row r="38" spans="1:7" x14ac:dyDescent="0.25">
      <c r="A38" s="74" t="s">
        <v>436</v>
      </c>
      <c r="B38" s="31" t="s">
        <v>437</v>
      </c>
      <c r="C38" s="31" t="s">
        <v>2024</v>
      </c>
      <c r="D38" s="14">
        <v>660000</v>
      </c>
      <c r="E38" s="15">
        <v>5109.72</v>
      </c>
      <c r="F38" s="16">
        <v>6.4999999999999997E-3</v>
      </c>
      <c r="G38" s="75"/>
    </row>
    <row r="39" spans="1:7" x14ac:dyDescent="0.25">
      <c r="A39" s="74" t="s">
        <v>724</v>
      </c>
      <c r="B39" s="31" t="s">
        <v>725</v>
      </c>
      <c r="C39" s="31" t="s">
        <v>1429</v>
      </c>
      <c r="D39" s="14">
        <v>545408</v>
      </c>
      <c r="E39" s="15">
        <v>4989.12</v>
      </c>
      <c r="F39" s="16">
        <v>6.4000000000000003E-3</v>
      </c>
      <c r="G39" s="75"/>
    </row>
    <row r="40" spans="1:7" x14ac:dyDescent="0.25">
      <c r="A40" s="74" t="s">
        <v>468</v>
      </c>
      <c r="B40" s="31" t="s">
        <v>469</v>
      </c>
      <c r="C40" s="31" t="s">
        <v>465</v>
      </c>
      <c r="D40" s="14">
        <v>504896</v>
      </c>
      <c r="E40" s="15">
        <v>4722.8</v>
      </c>
      <c r="F40" s="16">
        <v>6.0000000000000001E-3</v>
      </c>
      <c r="G40" s="75"/>
    </row>
    <row r="41" spans="1:7" x14ac:dyDescent="0.25">
      <c r="A41" s="74" t="s">
        <v>563</v>
      </c>
      <c r="B41" s="31" t="s">
        <v>564</v>
      </c>
      <c r="C41" s="31" t="s">
        <v>2028</v>
      </c>
      <c r="D41" s="14">
        <v>26993</v>
      </c>
      <c r="E41" s="15">
        <v>4691.53</v>
      </c>
      <c r="F41" s="16">
        <v>6.0000000000000001E-3</v>
      </c>
      <c r="G41" s="75"/>
    </row>
    <row r="42" spans="1:7" x14ac:dyDescent="0.25">
      <c r="A42" s="74" t="s">
        <v>791</v>
      </c>
      <c r="B42" s="31" t="s">
        <v>792</v>
      </c>
      <c r="C42" s="31" t="s">
        <v>2028</v>
      </c>
      <c r="D42" s="14">
        <v>919607</v>
      </c>
      <c r="E42" s="15">
        <v>4632.0600000000004</v>
      </c>
      <c r="F42" s="16">
        <v>5.8999999999999999E-3</v>
      </c>
      <c r="G42" s="75"/>
    </row>
    <row r="43" spans="1:7" x14ac:dyDescent="0.25">
      <c r="A43" s="74" t="s">
        <v>741</v>
      </c>
      <c r="B43" s="31" t="s">
        <v>742</v>
      </c>
      <c r="C43" s="31" t="s">
        <v>2032</v>
      </c>
      <c r="D43" s="14">
        <v>573415</v>
      </c>
      <c r="E43" s="15">
        <v>4624.88</v>
      </c>
      <c r="F43" s="16">
        <v>5.8999999999999999E-3</v>
      </c>
      <c r="G43" s="75"/>
    </row>
    <row r="44" spans="1:7" x14ac:dyDescent="0.25">
      <c r="A44" s="74" t="s">
        <v>527</v>
      </c>
      <c r="B44" s="31" t="s">
        <v>528</v>
      </c>
      <c r="C44" s="31" t="s">
        <v>2030</v>
      </c>
      <c r="D44" s="14">
        <v>164018</v>
      </c>
      <c r="E44" s="15">
        <v>4394.62</v>
      </c>
      <c r="F44" s="16">
        <v>5.5999999999999999E-3</v>
      </c>
      <c r="G44" s="75"/>
    </row>
    <row r="45" spans="1:7" x14ac:dyDescent="0.25">
      <c r="A45" s="74" t="s">
        <v>653</v>
      </c>
      <c r="B45" s="31" t="s">
        <v>654</v>
      </c>
      <c r="C45" s="31" t="s">
        <v>2027</v>
      </c>
      <c r="D45" s="14">
        <v>289302</v>
      </c>
      <c r="E45" s="15">
        <v>4337.9399999999996</v>
      </c>
      <c r="F45" s="16">
        <v>5.4999999999999997E-3</v>
      </c>
      <c r="G45" s="75"/>
    </row>
    <row r="46" spans="1:7" x14ac:dyDescent="0.25">
      <c r="A46" s="74" t="s">
        <v>1021</v>
      </c>
      <c r="B46" s="31" t="s">
        <v>1022</v>
      </c>
      <c r="C46" s="31" t="s">
        <v>2027</v>
      </c>
      <c r="D46" s="14">
        <v>47656</v>
      </c>
      <c r="E46" s="15">
        <v>4212.8599999999997</v>
      </c>
      <c r="F46" s="16">
        <v>5.4000000000000003E-3</v>
      </c>
      <c r="G46" s="75"/>
    </row>
    <row r="47" spans="1:7" x14ac:dyDescent="0.25">
      <c r="A47" s="74" t="s">
        <v>665</v>
      </c>
      <c r="B47" s="31" t="s">
        <v>666</v>
      </c>
      <c r="C47" s="31" t="s">
        <v>2028</v>
      </c>
      <c r="D47" s="14">
        <v>277105</v>
      </c>
      <c r="E47" s="15">
        <v>4127.62</v>
      </c>
      <c r="F47" s="16">
        <v>5.3E-3</v>
      </c>
      <c r="G47" s="75"/>
    </row>
    <row r="48" spans="1:7" x14ac:dyDescent="0.25">
      <c r="A48" s="74" t="s">
        <v>551</v>
      </c>
      <c r="B48" s="31" t="s">
        <v>552</v>
      </c>
      <c r="C48" s="31" t="s">
        <v>450</v>
      </c>
      <c r="D48" s="14">
        <v>309850</v>
      </c>
      <c r="E48" s="15">
        <v>4123.95</v>
      </c>
      <c r="F48" s="16">
        <v>5.3E-3</v>
      </c>
      <c r="G48" s="75"/>
    </row>
    <row r="49" spans="1:7" x14ac:dyDescent="0.25">
      <c r="A49" s="74" t="s">
        <v>1023</v>
      </c>
      <c r="B49" s="31" t="s">
        <v>1024</v>
      </c>
      <c r="C49" s="31" t="s">
        <v>1429</v>
      </c>
      <c r="D49" s="14">
        <v>110919</v>
      </c>
      <c r="E49" s="15">
        <v>4016.04</v>
      </c>
      <c r="F49" s="16">
        <v>5.1000000000000004E-3</v>
      </c>
      <c r="G49" s="75"/>
    </row>
    <row r="50" spans="1:7" x14ac:dyDescent="0.25">
      <c r="A50" s="74" t="s">
        <v>476</v>
      </c>
      <c r="B50" s="31" t="s">
        <v>477</v>
      </c>
      <c r="C50" s="31" t="s">
        <v>2027</v>
      </c>
      <c r="D50" s="14">
        <v>90870</v>
      </c>
      <c r="E50" s="15">
        <v>3910.05</v>
      </c>
      <c r="F50" s="16">
        <v>5.0000000000000001E-3</v>
      </c>
      <c r="G50" s="75"/>
    </row>
    <row r="51" spans="1:7" x14ac:dyDescent="0.25">
      <c r="A51" s="74" t="s">
        <v>663</v>
      </c>
      <c r="B51" s="31" t="s">
        <v>664</v>
      </c>
      <c r="C51" s="31" t="s">
        <v>2027</v>
      </c>
      <c r="D51" s="14">
        <v>60278</v>
      </c>
      <c r="E51" s="15">
        <v>3710.35</v>
      </c>
      <c r="F51" s="16">
        <v>4.7000000000000002E-3</v>
      </c>
      <c r="G51" s="75"/>
    </row>
    <row r="52" spans="1:7" x14ac:dyDescent="0.25">
      <c r="A52" s="74" t="s">
        <v>1025</v>
      </c>
      <c r="B52" s="31" t="s">
        <v>1026</v>
      </c>
      <c r="C52" s="31" t="s">
        <v>450</v>
      </c>
      <c r="D52" s="14">
        <v>3450662</v>
      </c>
      <c r="E52" s="15">
        <v>3674.96</v>
      </c>
      <c r="F52" s="16">
        <v>4.7000000000000002E-3</v>
      </c>
      <c r="G52" s="75"/>
    </row>
    <row r="53" spans="1:7" x14ac:dyDescent="0.25">
      <c r="A53" s="74" t="s">
        <v>627</v>
      </c>
      <c r="B53" s="31" t="s">
        <v>628</v>
      </c>
      <c r="C53" s="31" t="s">
        <v>440</v>
      </c>
      <c r="D53" s="14">
        <v>955069</v>
      </c>
      <c r="E53" s="15">
        <v>3432.04</v>
      </c>
      <c r="F53" s="16">
        <v>4.4000000000000003E-3</v>
      </c>
      <c r="G53" s="75"/>
    </row>
    <row r="54" spans="1:7" x14ac:dyDescent="0.25">
      <c r="A54" s="74" t="s">
        <v>535</v>
      </c>
      <c r="B54" s="31" t="s">
        <v>536</v>
      </c>
      <c r="C54" s="31" t="s">
        <v>2028</v>
      </c>
      <c r="D54" s="14">
        <v>382001</v>
      </c>
      <c r="E54" s="15">
        <v>3393.51</v>
      </c>
      <c r="F54" s="16">
        <v>4.3E-3</v>
      </c>
      <c r="G54" s="75"/>
    </row>
    <row r="55" spans="1:7" x14ac:dyDescent="0.25">
      <c r="A55" s="74" t="s">
        <v>444</v>
      </c>
      <c r="B55" s="31" t="s">
        <v>445</v>
      </c>
      <c r="C55" s="31" t="s">
        <v>462</v>
      </c>
      <c r="D55" s="14">
        <v>804452</v>
      </c>
      <c r="E55" s="15">
        <v>3244.76</v>
      </c>
      <c r="F55" s="16">
        <v>4.1000000000000003E-3</v>
      </c>
      <c r="G55" s="75"/>
    </row>
    <row r="56" spans="1:7" x14ac:dyDescent="0.25">
      <c r="A56" s="74" t="s">
        <v>1027</v>
      </c>
      <c r="B56" s="31" t="s">
        <v>1028</v>
      </c>
      <c r="C56" s="31" t="s">
        <v>462</v>
      </c>
      <c r="D56" s="14">
        <v>1023637</v>
      </c>
      <c r="E56" s="15">
        <v>3174.81</v>
      </c>
      <c r="F56" s="16">
        <v>4.0000000000000001E-3</v>
      </c>
      <c r="G56" s="75"/>
    </row>
    <row r="57" spans="1:7" x14ac:dyDescent="0.25">
      <c r="A57" s="74" t="s">
        <v>2020</v>
      </c>
      <c r="B57" s="31" t="s">
        <v>1029</v>
      </c>
      <c r="C57" s="31" t="s">
        <v>494</v>
      </c>
      <c r="D57" s="14">
        <v>987600</v>
      </c>
      <c r="E57" s="15">
        <v>3092.57</v>
      </c>
      <c r="F57" s="16">
        <v>3.8999999999999998E-3</v>
      </c>
      <c r="G57" s="75"/>
    </row>
    <row r="58" spans="1:7" x14ac:dyDescent="0.25">
      <c r="A58" s="74" t="s">
        <v>678</v>
      </c>
      <c r="B58" s="31" t="s">
        <v>679</v>
      </c>
      <c r="C58" s="31" t="s">
        <v>450</v>
      </c>
      <c r="D58" s="14">
        <v>2840075</v>
      </c>
      <c r="E58" s="15">
        <v>3057.34</v>
      </c>
      <c r="F58" s="16">
        <v>3.8999999999999998E-3</v>
      </c>
      <c r="G58" s="75"/>
    </row>
    <row r="59" spans="1:7" x14ac:dyDescent="0.25">
      <c r="A59" s="74" t="s">
        <v>1030</v>
      </c>
      <c r="B59" s="31" t="s">
        <v>1031</v>
      </c>
      <c r="C59" s="31" t="s">
        <v>1429</v>
      </c>
      <c r="D59" s="14">
        <v>183334</v>
      </c>
      <c r="E59" s="15">
        <v>3055.99</v>
      </c>
      <c r="F59" s="16">
        <v>3.8999999999999998E-3</v>
      </c>
      <c r="G59" s="75"/>
    </row>
    <row r="60" spans="1:7" x14ac:dyDescent="0.25">
      <c r="A60" s="74" t="s">
        <v>1032</v>
      </c>
      <c r="B60" s="31" t="s">
        <v>1033</v>
      </c>
      <c r="C60" s="31" t="s">
        <v>677</v>
      </c>
      <c r="D60" s="14">
        <v>76564</v>
      </c>
      <c r="E60" s="15">
        <v>3036.76</v>
      </c>
      <c r="F60" s="16">
        <v>3.8999999999999998E-3</v>
      </c>
      <c r="G60" s="75"/>
    </row>
    <row r="61" spans="1:7" x14ac:dyDescent="0.25">
      <c r="A61" s="74" t="s">
        <v>765</v>
      </c>
      <c r="B61" s="31" t="s">
        <v>766</v>
      </c>
      <c r="C61" s="31" t="s">
        <v>2035</v>
      </c>
      <c r="D61" s="14">
        <v>6884</v>
      </c>
      <c r="E61" s="15">
        <v>2973.15</v>
      </c>
      <c r="F61" s="16">
        <v>3.8E-3</v>
      </c>
      <c r="G61" s="75"/>
    </row>
    <row r="62" spans="1:7" x14ac:dyDescent="0.25">
      <c r="A62" s="74" t="s">
        <v>684</v>
      </c>
      <c r="B62" s="31" t="s">
        <v>685</v>
      </c>
      <c r="C62" s="31" t="s">
        <v>450</v>
      </c>
      <c r="D62" s="14">
        <v>348661</v>
      </c>
      <c r="E62" s="15">
        <v>2969.55</v>
      </c>
      <c r="F62" s="16">
        <v>3.8E-3</v>
      </c>
      <c r="G62" s="75"/>
    </row>
    <row r="63" spans="1:7" x14ac:dyDescent="0.25">
      <c r="A63" s="74" t="s">
        <v>1034</v>
      </c>
      <c r="B63" s="31" t="s">
        <v>1035</v>
      </c>
      <c r="C63" s="31" t="s">
        <v>494</v>
      </c>
      <c r="D63" s="14">
        <v>567880</v>
      </c>
      <c r="E63" s="15">
        <v>2935.09</v>
      </c>
      <c r="F63" s="16">
        <v>3.7000000000000002E-3</v>
      </c>
      <c r="G63" s="75"/>
    </row>
    <row r="64" spans="1:7" x14ac:dyDescent="0.25">
      <c r="A64" s="74" t="s">
        <v>502</v>
      </c>
      <c r="B64" s="31" t="s">
        <v>503</v>
      </c>
      <c r="C64" s="31" t="s">
        <v>2025</v>
      </c>
      <c r="D64" s="14">
        <v>2089080</v>
      </c>
      <c r="E64" s="15">
        <v>2913.22</v>
      </c>
      <c r="F64" s="16">
        <v>3.7000000000000002E-3</v>
      </c>
      <c r="G64" s="75"/>
    </row>
    <row r="65" spans="1:7" x14ac:dyDescent="0.25">
      <c r="A65" s="74" t="s">
        <v>755</v>
      </c>
      <c r="B65" s="31" t="s">
        <v>756</v>
      </c>
      <c r="C65" s="31" t="s">
        <v>480</v>
      </c>
      <c r="D65" s="14">
        <v>119669</v>
      </c>
      <c r="E65" s="15">
        <v>2909.51</v>
      </c>
      <c r="F65" s="16">
        <v>3.7000000000000002E-3</v>
      </c>
      <c r="G65" s="75"/>
    </row>
    <row r="66" spans="1:7" x14ac:dyDescent="0.25">
      <c r="A66" s="74" t="s">
        <v>488</v>
      </c>
      <c r="B66" s="31" t="s">
        <v>489</v>
      </c>
      <c r="C66" s="31" t="s">
        <v>2027</v>
      </c>
      <c r="D66" s="14">
        <v>64969</v>
      </c>
      <c r="E66" s="15">
        <v>2895.99</v>
      </c>
      <c r="F66" s="16">
        <v>3.7000000000000002E-3</v>
      </c>
      <c r="G66" s="75"/>
    </row>
    <row r="67" spans="1:7" x14ac:dyDescent="0.25">
      <c r="A67" s="74" t="s">
        <v>733</v>
      </c>
      <c r="B67" s="31" t="s">
        <v>734</v>
      </c>
      <c r="C67" s="31" t="s">
        <v>626</v>
      </c>
      <c r="D67" s="14">
        <v>1466863</v>
      </c>
      <c r="E67" s="15">
        <v>2842.05</v>
      </c>
      <c r="F67" s="16">
        <v>3.5999999999999999E-3</v>
      </c>
      <c r="G67" s="75"/>
    </row>
    <row r="68" spans="1:7" x14ac:dyDescent="0.25">
      <c r="A68" s="74" t="s">
        <v>1036</v>
      </c>
      <c r="B68" s="31" t="s">
        <v>1037</v>
      </c>
      <c r="C68" s="31" t="s">
        <v>2025</v>
      </c>
      <c r="D68" s="14">
        <v>174868</v>
      </c>
      <c r="E68" s="15">
        <v>2841.08</v>
      </c>
      <c r="F68" s="16">
        <v>3.5999999999999999E-3</v>
      </c>
      <c r="G68" s="75"/>
    </row>
    <row r="69" spans="1:7" x14ac:dyDescent="0.25">
      <c r="A69" s="74" t="s">
        <v>1038</v>
      </c>
      <c r="B69" s="31" t="s">
        <v>1039</v>
      </c>
      <c r="C69" s="31" t="s">
        <v>558</v>
      </c>
      <c r="D69" s="14">
        <v>146175</v>
      </c>
      <c r="E69" s="15">
        <v>2838.72</v>
      </c>
      <c r="F69" s="16">
        <v>3.5999999999999999E-3</v>
      </c>
      <c r="G69" s="75"/>
    </row>
    <row r="70" spans="1:7" x14ac:dyDescent="0.25">
      <c r="A70" s="74" t="s">
        <v>694</v>
      </c>
      <c r="B70" s="31" t="s">
        <v>695</v>
      </c>
      <c r="C70" s="31" t="s">
        <v>2032</v>
      </c>
      <c r="D70" s="14">
        <v>451291</v>
      </c>
      <c r="E70" s="15">
        <v>2823.5</v>
      </c>
      <c r="F70" s="16">
        <v>3.5999999999999999E-3</v>
      </c>
      <c r="G70" s="75"/>
    </row>
    <row r="71" spans="1:7" x14ac:dyDescent="0.25">
      <c r="A71" s="74" t="s">
        <v>793</v>
      </c>
      <c r="B71" s="31" t="s">
        <v>794</v>
      </c>
      <c r="C71" s="31" t="s">
        <v>1429</v>
      </c>
      <c r="D71" s="14">
        <v>15686</v>
      </c>
      <c r="E71" s="15">
        <v>2776.87</v>
      </c>
      <c r="F71" s="16">
        <v>3.5000000000000001E-3</v>
      </c>
      <c r="G71" s="75"/>
    </row>
    <row r="72" spans="1:7" x14ac:dyDescent="0.25">
      <c r="A72" s="74" t="s">
        <v>1040</v>
      </c>
      <c r="B72" s="31" t="s">
        <v>1041</v>
      </c>
      <c r="C72" s="31" t="s">
        <v>2028</v>
      </c>
      <c r="D72" s="14">
        <v>177442</v>
      </c>
      <c r="E72" s="15">
        <v>2736.6</v>
      </c>
      <c r="F72" s="16">
        <v>3.5000000000000001E-3</v>
      </c>
      <c r="G72" s="75"/>
    </row>
    <row r="73" spans="1:7" x14ac:dyDescent="0.25">
      <c r="A73" s="74" t="s">
        <v>673</v>
      </c>
      <c r="B73" s="31" t="s">
        <v>674</v>
      </c>
      <c r="C73" s="31" t="s">
        <v>2032</v>
      </c>
      <c r="D73" s="14">
        <v>110818</v>
      </c>
      <c r="E73" s="15">
        <v>2722.96</v>
      </c>
      <c r="F73" s="16">
        <v>3.5000000000000001E-3</v>
      </c>
      <c r="G73" s="75"/>
    </row>
    <row r="74" spans="1:7" x14ac:dyDescent="0.25">
      <c r="A74" s="74" t="s">
        <v>596</v>
      </c>
      <c r="B74" s="31" t="s">
        <v>597</v>
      </c>
      <c r="C74" s="31" t="s">
        <v>573</v>
      </c>
      <c r="D74" s="14">
        <v>59159</v>
      </c>
      <c r="E74" s="15">
        <v>2671.68</v>
      </c>
      <c r="F74" s="16">
        <v>3.3999999999999998E-3</v>
      </c>
      <c r="G74" s="75"/>
    </row>
    <row r="75" spans="1:7" x14ac:dyDescent="0.25">
      <c r="A75" s="74" t="s">
        <v>1042</v>
      </c>
      <c r="B75" s="31" t="s">
        <v>1043</v>
      </c>
      <c r="C75" s="31" t="s">
        <v>514</v>
      </c>
      <c r="D75" s="14">
        <v>115302</v>
      </c>
      <c r="E75" s="15">
        <v>2670.22</v>
      </c>
      <c r="F75" s="16">
        <v>3.3999999999999998E-3</v>
      </c>
      <c r="G75" s="75"/>
    </row>
    <row r="76" spans="1:7" x14ac:dyDescent="0.25">
      <c r="A76" s="74" t="s">
        <v>1044</v>
      </c>
      <c r="B76" s="31" t="s">
        <v>1045</v>
      </c>
      <c r="C76" s="31" t="s">
        <v>450</v>
      </c>
      <c r="D76" s="14">
        <v>760726</v>
      </c>
      <c r="E76" s="15">
        <v>2590.65</v>
      </c>
      <c r="F76" s="16">
        <v>3.3E-3</v>
      </c>
      <c r="G76" s="75"/>
    </row>
    <row r="77" spans="1:7" x14ac:dyDescent="0.25">
      <c r="A77" s="74" t="s">
        <v>731</v>
      </c>
      <c r="B77" s="31" t="s">
        <v>732</v>
      </c>
      <c r="C77" s="31" t="s">
        <v>677</v>
      </c>
      <c r="D77" s="14">
        <v>56528</v>
      </c>
      <c r="E77" s="15">
        <v>2549.1</v>
      </c>
      <c r="F77" s="16">
        <v>3.3E-3</v>
      </c>
      <c r="G77" s="75"/>
    </row>
    <row r="78" spans="1:7" x14ac:dyDescent="0.25">
      <c r="A78" s="74" t="s">
        <v>586</v>
      </c>
      <c r="B78" s="31" t="s">
        <v>587</v>
      </c>
      <c r="C78" s="31" t="s">
        <v>2031</v>
      </c>
      <c r="D78" s="14">
        <v>313945</v>
      </c>
      <c r="E78" s="15">
        <v>2416.12</v>
      </c>
      <c r="F78" s="16">
        <v>3.0999999999999999E-3</v>
      </c>
      <c r="G78" s="75"/>
    </row>
    <row r="79" spans="1:7" x14ac:dyDescent="0.25">
      <c r="A79" s="74" t="s">
        <v>1046</v>
      </c>
      <c r="B79" s="31" t="s">
        <v>1047</v>
      </c>
      <c r="C79" s="31" t="s">
        <v>615</v>
      </c>
      <c r="D79" s="14">
        <v>738279</v>
      </c>
      <c r="E79" s="15">
        <v>2371.7199999999998</v>
      </c>
      <c r="F79" s="16">
        <v>3.0000000000000001E-3</v>
      </c>
      <c r="G79" s="75"/>
    </row>
    <row r="80" spans="1:7" x14ac:dyDescent="0.25">
      <c r="A80" s="74" t="s">
        <v>1048</v>
      </c>
      <c r="B80" s="31" t="s">
        <v>1049</v>
      </c>
      <c r="C80" s="31" t="s">
        <v>2030</v>
      </c>
      <c r="D80" s="14">
        <v>86073</v>
      </c>
      <c r="E80" s="15">
        <v>2360.6</v>
      </c>
      <c r="F80" s="16">
        <v>3.0000000000000001E-3</v>
      </c>
      <c r="G80" s="75"/>
    </row>
    <row r="81" spans="1:7" x14ac:dyDescent="0.25">
      <c r="A81" s="74" t="s">
        <v>616</v>
      </c>
      <c r="B81" s="31" t="s">
        <v>617</v>
      </c>
      <c r="C81" s="31" t="s">
        <v>608</v>
      </c>
      <c r="D81" s="14">
        <v>89244</v>
      </c>
      <c r="E81" s="15">
        <v>2352.92</v>
      </c>
      <c r="F81" s="16">
        <v>3.0000000000000001E-3</v>
      </c>
      <c r="G81" s="75"/>
    </row>
    <row r="82" spans="1:7" x14ac:dyDescent="0.25">
      <c r="A82" s="74" t="s">
        <v>1050</v>
      </c>
      <c r="B82" s="31" t="s">
        <v>1051</v>
      </c>
      <c r="C82" s="31" t="s">
        <v>558</v>
      </c>
      <c r="D82" s="14">
        <v>104337</v>
      </c>
      <c r="E82" s="15">
        <v>2233.96</v>
      </c>
      <c r="F82" s="16">
        <v>2.8E-3</v>
      </c>
      <c r="G82" s="75"/>
    </row>
    <row r="83" spans="1:7" x14ac:dyDescent="0.25">
      <c r="A83" s="74" t="s">
        <v>1052</v>
      </c>
      <c r="B83" s="31" t="s">
        <v>1053</v>
      </c>
      <c r="C83" s="31" t="s">
        <v>2025</v>
      </c>
      <c r="D83" s="14">
        <v>231727</v>
      </c>
      <c r="E83" s="15">
        <v>2160.39</v>
      </c>
      <c r="F83" s="16">
        <v>2.8E-3</v>
      </c>
      <c r="G83" s="75"/>
    </row>
    <row r="84" spans="1:7" x14ac:dyDescent="0.25">
      <c r="A84" s="74" t="s">
        <v>1054</v>
      </c>
      <c r="B84" s="31" t="s">
        <v>1055</v>
      </c>
      <c r="C84" s="31" t="s">
        <v>615</v>
      </c>
      <c r="D84" s="14">
        <v>60185</v>
      </c>
      <c r="E84" s="15">
        <v>2120.4699999999998</v>
      </c>
      <c r="F84" s="16">
        <v>2.7000000000000001E-3</v>
      </c>
      <c r="G84" s="75"/>
    </row>
    <row r="85" spans="1:7" x14ac:dyDescent="0.25">
      <c r="A85" s="74" t="s">
        <v>639</v>
      </c>
      <c r="B85" s="31" t="s">
        <v>640</v>
      </c>
      <c r="C85" s="31" t="s">
        <v>608</v>
      </c>
      <c r="D85" s="14">
        <v>854929</v>
      </c>
      <c r="E85" s="15">
        <v>2039.01</v>
      </c>
      <c r="F85" s="16">
        <v>2.5999999999999999E-3</v>
      </c>
      <c r="G85" s="75"/>
    </row>
    <row r="86" spans="1:7" x14ac:dyDescent="0.25">
      <c r="A86" s="74" t="s">
        <v>1056</v>
      </c>
      <c r="B86" s="31" t="s">
        <v>1057</v>
      </c>
      <c r="C86" s="31" t="s">
        <v>494</v>
      </c>
      <c r="D86" s="14">
        <v>679199</v>
      </c>
      <c r="E86" s="15">
        <v>1929.94</v>
      </c>
      <c r="F86" s="16">
        <v>2.5000000000000001E-3</v>
      </c>
      <c r="G86" s="75"/>
    </row>
    <row r="87" spans="1:7" x14ac:dyDescent="0.25">
      <c r="A87" s="74" t="s">
        <v>803</v>
      </c>
      <c r="B87" s="31" t="s">
        <v>804</v>
      </c>
      <c r="C87" s="31" t="s">
        <v>2028</v>
      </c>
      <c r="D87" s="14">
        <v>60649</v>
      </c>
      <c r="E87" s="15">
        <v>1867.96</v>
      </c>
      <c r="F87" s="16">
        <v>2.3999999999999998E-3</v>
      </c>
      <c r="G87" s="75"/>
    </row>
    <row r="88" spans="1:7" x14ac:dyDescent="0.25">
      <c r="A88" s="74" t="s">
        <v>541</v>
      </c>
      <c r="B88" s="31" t="s">
        <v>542</v>
      </c>
      <c r="C88" s="31" t="s">
        <v>501</v>
      </c>
      <c r="D88" s="14">
        <v>883681</v>
      </c>
      <c r="E88" s="15">
        <v>1862.8</v>
      </c>
      <c r="F88" s="16">
        <v>2.3999999999999998E-3</v>
      </c>
      <c r="G88" s="75"/>
    </row>
    <row r="89" spans="1:7" x14ac:dyDescent="0.25">
      <c r="A89" s="74" t="s">
        <v>451</v>
      </c>
      <c r="B89" s="31" t="s">
        <v>452</v>
      </c>
      <c r="C89" s="31" t="s">
        <v>453</v>
      </c>
      <c r="D89" s="14">
        <v>639000</v>
      </c>
      <c r="E89" s="15">
        <v>1842.56</v>
      </c>
      <c r="F89" s="16">
        <v>2.3E-3</v>
      </c>
      <c r="G89" s="75"/>
    </row>
    <row r="90" spans="1:7" x14ac:dyDescent="0.25">
      <c r="A90" s="74" t="s">
        <v>1058</v>
      </c>
      <c r="B90" s="31" t="s">
        <v>1059</v>
      </c>
      <c r="C90" s="31" t="s">
        <v>514</v>
      </c>
      <c r="D90" s="14">
        <v>295813</v>
      </c>
      <c r="E90" s="15">
        <v>1837.74</v>
      </c>
      <c r="F90" s="16">
        <v>2.3E-3</v>
      </c>
      <c r="G90" s="75"/>
    </row>
    <row r="91" spans="1:7" x14ac:dyDescent="0.25">
      <c r="A91" s="74" t="s">
        <v>446</v>
      </c>
      <c r="B91" s="31" t="s">
        <v>447</v>
      </c>
      <c r="C91" s="31" t="s">
        <v>2026</v>
      </c>
      <c r="D91" s="14">
        <v>88000</v>
      </c>
      <c r="E91" s="15">
        <v>1772.98</v>
      </c>
      <c r="F91" s="16">
        <v>2.3E-3</v>
      </c>
      <c r="G91" s="75"/>
    </row>
    <row r="92" spans="1:7" x14ac:dyDescent="0.25">
      <c r="A92" s="74" t="s">
        <v>1060</v>
      </c>
      <c r="B92" s="31" t="s">
        <v>1061</v>
      </c>
      <c r="C92" s="31" t="s">
        <v>2030</v>
      </c>
      <c r="D92" s="14">
        <v>52706</v>
      </c>
      <c r="E92" s="15">
        <v>1506.63</v>
      </c>
      <c r="F92" s="16">
        <v>1.9E-3</v>
      </c>
      <c r="G92" s="75"/>
    </row>
    <row r="93" spans="1:7" x14ac:dyDescent="0.25">
      <c r="A93" s="74" t="s">
        <v>1062</v>
      </c>
      <c r="B93" s="31" t="s">
        <v>1063</v>
      </c>
      <c r="C93" s="31" t="s">
        <v>2025</v>
      </c>
      <c r="D93" s="14">
        <v>1760136</v>
      </c>
      <c r="E93" s="15">
        <v>1134.4100000000001</v>
      </c>
      <c r="F93" s="16">
        <v>1.4E-3</v>
      </c>
      <c r="G93" s="75"/>
    </row>
    <row r="94" spans="1:7" x14ac:dyDescent="0.25">
      <c r="A94" s="74" t="s">
        <v>576</v>
      </c>
      <c r="B94" s="31" t="s">
        <v>577</v>
      </c>
      <c r="C94" s="31" t="s">
        <v>456</v>
      </c>
      <c r="D94" s="14">
        <v>210000</v>
      </c>
      <c r="E94" s="15">
        <v>1118.99</v>
      </c>
      <c r="F94" s="16">
        <v>1.4E-3</v>
      </c>
      <c r="G94" s="75"/>
    </row>
    <row r="95" spans="1:7" x14ac:dyDescent="0.25">
      <c r="A95" s="74" t="s">
        <v>1064</v>
      </c>
      <c r="B95" s="31" t="s">
        <v>1065</v>
      </c>
      <c r="C95" s="31" t="s">
        <v>626</v>
      </c>
      <c r="D95" s="14">
        <v>695107</v>
      </c>
      <c r="E95" s="15">
        <v>1081.93</v>
      </c>
      <c r="F95" s="16">
        <v>1.4E-3</v>
      </c>
      <c r="G95" s="75"/>
    </row>
    <row r="96" spans="1:7" x14ac:dyDescent="0.25">
      <c r="A96" s="74" t="s">
        <v>441</v>
      </c>
      <c r="B96" s="31" t="s">
        <v>1066</v>
      </c>
      <c r="C96" s="31" t="s">
        <v>443</v>
      </c>
      <c r="D96" s="14">
        <v>193325</v>
      </c>
      <c r="E96" s="15">
        <v>765.47</v>
      </c>
      <c r="F96" s="16">
        <v>1E-3</v>
      </c>
      <c r="G96" s="75"/>
    </row>
    <row r="97" spans="1:7" x14ac:dyDescent="0.25">
      <c r="A97" s="74" t="s">
        <v>495</v>
      </c>
      <c r="B97" s="31" t="s">
        <v>496</v>
      </c>
      <c r="C97" s="31" t="s">
        <v>450</v>
      </c>
      <c r="D97" s="14">
        <v>1160000</v>
      </c>
      <c r="E97" s="15">
        <v>716.3</v>
      </c>
      <c r="F97" s="16">
        <v>8.9999999999999998E-4</v>
      </c>
      <c r="G97" s="75"/>
    </row>
    <row r="98" spans="1:7" x14ac:dyDescent="0.25">
      <c r="A98" s="74" t="s">
        <v>785</v>
      </c>
      <c r="B98" s="31" t="s">
        <v>786</v>
      </c>
      <c r="C98" s="31" t="s">
        <v>2026</v>
      </c>
      <c r="D98" s="14">
        <v>348600</v>
      </c>
      <c r="E98" s="15">
        <v>638.11</v>
      </c>
      <c r="F98" s="16">
        <v>8.0000000000000004E-4</v>
      </c>
      <c r="G98" s="75"/>
    </row>
    <row r="99" spans="1:7" x14ac:dyDescent="0.25">
      <c r="A99" s="74" t="s">
        <v>726</v>
      </c>
      <c r="B99" s="31" t="s">
        <v>727</v>
      </c>
      <c r="C99" s="31" t="s">
        <v>728</v>
      </c>
      <c r="D99" s="14">
        <v>369297</v>
      </c>
      <c r="E99" s="15">
        <v>605.28</v>
      </c>
      <c r="F99" s="16">
        <v>8.0000000000000004E-4</v>
      </c>
      <c r="G99" s="75"/>
    </row>
    <row r="100" spans="1:7" x14ac:dyDescent="0.25">
      <c r="A100" s="74" t="s">
        <v>783</v>
      </c>
      <c r="B100" s="31" t="s">
        <v>784</v>
      </c>
      <c r="C100" s="31" t="s">
        <v>626</v>
      </c>
      <c r="D100" s="14">
        <v>116250</v>
      </c>
      <c r="E100" s="15">
        <v>585.03</v>
      </c>
      <c r="F100" s="16">
        <v>6.9999999999999999E-4</v>
      </c>
      <c r="G100" s="75"/>
    </row>
    <row r="101" spans="1:7" x14ac:dyDescent="0.25">
      <c r="A101" s="74" t="s">
        <v>1067</v>
      </c>
      <c r="B101" s="31" t="s">
        <v>1068</v>
      </c>
      <c r="C101" s="31" t="s">
        <v>450</v>
      </c>
      <c r="D101" s="14">
        <v>108600</v>
      </c>
      <c r="E101" s="15">
        <v>566.84</v>
      </c>
      <c r="F101" s="16">
        <v>6.9999999999999999E-4</v>
      </c>
      <c r="G101" s="75"/>
    </row>
    <row r="102" spans="1:7" x14ac:dyDescent="0.25">
      <c r="A102" s="74" t="s">
        <v>553</v>
      </c>
      <c r="B102" s="31" t="s">
        <v>554</v>
      </c>
      <c r="C102" s="31" t="s">
        <v>1429</v>
      </c>
      <c r="D102" s="14">
        <v>53300</v>
      </c>
      <c r="E102" s="15">
        <v>542.62</v>
      </c>
      <c r="F102" s="16">
        <v>6.9999999999999999E-4</v>
      </c>
      <c r="G102" s="75"/>
    </row>
    <row r="103" spans="1:7" x14ac:dyDescent="0.25">
      <c r="A103" s="74" t="s">
        <v>659</v>
      </c>
      <c r="B103" s="31" t="s">
        <v>660</v>
      </c>
      <c r="C103" s="31" t="s">
        <v>615</v>
      </c>
      <c r="D103" s="14">
        <v>22000</v>
      </c>
      <c r="E103" s="15">
        <v>431.51</v>
      </c>
      <c r="F103" s="16">
        <v>5.9999999999999995E-4</v>
      </c>
      <c r="G103" s="75"/>
    </row>
    <row r="104" spans="1:7" x14ac:dyDescent="0.25">
      <c r="A104" s="74" t="s">
        <v>457</v>
      </c>
      <c r="B104" s="31" t="s">
        <v>458</v>
      </c>
      <c r="C104" s="31" t="s">
        <v>459</v>
      </c>
      <c r="D104" s="14">
        <v>168750</v>
      </c>
      <c r="E104" s="15">
        <v>402.72</v>
      </c>
      <c r="F104" s="16">
        <v>5.0000000000000001E-4</v>
      </c>
      <c r="G104" s="75"/>
    </row>
    <row r="105" spans="1:7" x14ac:dyDescent="0.25">
      <c r="A105" s="74" t="s">
        <v>517</v>
      </c>
      <c r="B105" s="31" t="s">
        <v>518</v>
      </c>
      <c r="C105" s="31" t="s">
        <v>465</v>
      </c>
      <c r="D105" s="14">
        <v>284200</v>
      </c>
      <c r="E105" s="15">
        <v>370.03</v>
      </c>
      <c r="F105" s="16">
        <v>5.0000000000000001E-4</v>
      </c>
      <c r="G105" s="75"/>
    </row>
    <row r="106" spans="1:7" x14ac:dyDescent="0.25">
      <c r="A106" s="74" t="s">
        <v>609</v>
      </c>
      <c r="B106" s="31" t="s">
        <v>610</v>
      </c>
      <c r="C106" s="31" t="s">
        <v>2025</v>
      </c>
      <c r="D106" s="14">
        <v>100000</v>
      </c>
      <c r="E106" s="15">
        <v>191</v>
      </c>
      <c r="F106" s="16">
        <v>2.0000000000000001E-4</v>
      </c>
      <c r="G106" s="75"/>
    </row>
    <row r="107" spans="1:7" x14ac:dyDescent="0.25">
      <c r="A107" s="74" t="s">
        <v>569</v>
      </c>
      <c r="B107" s="31" t="s">
        <v>570</v>
      </c>
      <c r="C107" s="31" t="s">
        <v>2025</v>
      </c>
      <c r="D107" s="14">
        <v>104400</v>
      </c>
      <c r="E107" s="15">
        <v>157.75</v>
      </c>
      <c r="F107" s="16">
        <v>2.0000000000000001E-4</v>
      </c>
      <c r="G107" s="75"/>
    </row>
    <row r="108" spans="1:7" x14ac:dyDescent="0.25">
      <c r="A108" s="74" t="s">
        <v>1069</v>
      </c>
      <c r="B108" s="31" t="s">
        <v>1070</v>
      </c>
      <c r="C108" s="31" t="s">
        <v>728</v>
      </c>
      <c r="D108" s="14">
        <v>65464</v>
      </c>
      <c r="E108" s="15">
        <v>156.07</v>
      </c>
      <c r="F108" s="16">
        <v>2.0000000000000001E-4</v>
      </c>
      <c r="G108" s="75"/>
    </row>
    <row r="109" spans="1:7" x14ac:dyDescent="0.25">
      <c r="A109" s="74" t="s">
        <v>811</v>
      </c>
      <c r="B109" s="31" t="s">
        <v>812</v>
      </c>
      <c r="C109" s="31" t="s">
        <v>2027</v>
      </c>
      <c r="D109" s="14">
        <v>3000</v>
      </c>
      <c r="E109" s="15">
        <v>153.16</v>
      </c>
      <c r="F109" s="16">
        <v>2.0000000000000001E-4</v>
      </c>
      <c r="G109" s="75"/>
    </row>
    <row r="110" spans="1:7" x14ac:dyDescent="0.25">
      <c r="A110" s="74" t="s">
        <v>466</v>
      </c>
      <c r="B110" s="31" t="s">
        <v>467</v>
      </c>
      <c r="C110" s="31" t="s">
        <v>453</v>
      </c>
      <c r="D110" s="14">
        <v>6105</v>
      </c>
      <c r="E110" s="15">
        <v>117.36</v>
      </c>
      <c r="F110" s="16">
        <v>1E-4</v>
      </c>
      <c r="G110" s="75"/>
    </row>
    <row r="111" spans="1:7" x14ac:dyDescent="0.25">
      <c r="A111" s="74" t="s">
        <v>506</v>
      </c>
      <c r="B111" s="31" t="s">
        <v>507</v>
      </c>
      <c r="C111" s="31" t="s">
        <v>465</v>
      </c>
      <c r="D111" s="14">
        <v>320000</v>
      </c>
      <c r="E111" s="15">
        <v>112.16</v>
      </c>
      <c r="F111" s="16">
        <v>1E-4</v>
      </c>
      <c r="G111" s="75"/>
    </row>
    <row r="112" spans="1:7" x14ac:dyDescent="0.25">
      <c r="A112" s="74" t="s">
        <v>515</v>
      </c>
      <c r="B112" s="31" t="s">
        <v>516</v>
      </c>
      <c r="C112" s="31" t="s">
        <v>453</v>
      </c>
      <c r="D112" s="14">
        <v>22500</v>
      </c>
      <c r="E112" s="15">
        <v>110.22</v>
      </c>
      <c r="F112" s="16">
        <v>1E-4</v>
      </c>
      <c r="G112" s="75"/>
    </row>
    <row r="113" spans="1:7" x14ac:dyDescent="0.25">
      <c r="A113" s="74" t="s">
        <v>485</v>
      </c>
      <c r="B113" s="31" t="s">
        <v>486</v>
      </c>
      <c r="C113" s="31" t="s">
        <v>487</v>
      </c>
      <c r="D113" s="14">
        <v>18700</v>
      </c>
      <c r="E113" s="15">
        <v>100.64</v>
      </c>
      <c r="F113" s="16">
        <v>1E-4</v>
      </c>
      <c r="G113" s="75"/>
    </row>
    <row r="114" spans="1:7" x14ac:dyDescent="0.25">
      <c r="A114" s="74" t="s">
        <v>647</v>
      </c>
      <c r="B114" s="31" t="s">
        <v>648</v>
      </c>
      <c r="C114" s="31" t="s">
        <v>1429</v>
      </c>
      <c r="D114" s="14">
        <v>29450</v>
      </c>
      <c r="E114" s="15">
        <v>90.26</v>
      </c>
      <c r="F114" s="16">
        <v>1E-4</v>
      </c>
      <c r="G114" s="75"/>
    </row>
    <row r="115" spans="1:7" x14ac:dyDescent="0.25">
      <c r="A115" s="74" t="s">
        <v>686</v>
      </c>
      <c r="B115" s="31" t="s">
        <v>687</v>
      </c>
      <c r="C115" s="31" t="s">
        <v>440</v>
      </c>
      <c r="D115" s="14">
        <v>27000</v>
      </c>
      <c r="E115" s="15">
        <v>72.72</v>
      </c>
      <c r="F115" s="16">
        <v>1E-4</v>
      </c>
      <c r="G115" s="75"/>
    </row>
    <row r="116" spans="1:7" x14ac:dyDescent="0.25">
      <c r="A116" s="74" t="s">
        <v>611</v>
      </c>
      <c r="B116" s="31" t="s">
        <v>612</v>
      </c>
      <c r="C116" s="31" t="s">
        <v>465</v>
      </c>
      <c r="D116" s="14">
        <v>27000</v>
      </c>
      <c r="E116" s="15">
        <v>61.49</v>
      </c>
      <c r="F116" s="16">
        <v>1E-4</v>
      </c>
      <c r="G116" s="75"/>
    </row>
    <row r="117" spans="1:7" x14ac:dyDescent="0.25">
      <c r="A117" s="74" t="s">
        <v>620</v>
      </c>
      <c r="B117" s="31" t="s">
        <v>621</v>
      </c>
      <c r="C117" s="31" t="s">
        <v>1429</v>
      </c>
      <c r="D117" s="14">
        <v>9000</v>
      </c>
      <c r="E117" s="15">
        <v>53.11</v>
      </c>
      <c r="F117" s="16">
        <v>1E-4</v>
      </c>
      <c r="G117" s="75"/>
    </row>
    <row r="118" spans="1:7" x14ac:dyDescent="0.25">
      <c r="A118" s="74" t="s">
        <v>533</v>
      </c>
      <c r="B118" s="31" t="s">
        <v>534</v>
      </c>
      <c r="C118" s="31" t="s">
        <v>514</v>
      </c>
      <c r="D118" s="14">
        <v>15000</v>
      </c>
      <c r="E118" s="15">
        <v>33.71</v>
      </c>
      <c r="F118" s="53" t="s">
        <v>2022</v>
      </c>
      <c r="G118" s="75"/>
    </row>
    <row r="119" spans="1:7" x14ac:dyDescent="0.25">
      <c r="A119" s="74" t="s">
        <v>590</v>
      </c>
      <c r="B119" s="31" t="s">
        <v>591</v>
      </c>
      <c r="C119" s="31" t="s">
        <v>2032</v>
      </c>
      <c r="D119" s="14">
        <v>900</v>
      </c>
      <c r="E119" s="15">
        <v>20.65</v>
      </c>
      <c r="F119" s="53" t="s">
        <v>2022</v>
      </c>
      <c r="G119" s="75"/>
    </row>
    <row r="120" spans="1:7" x14ac:dyDescent="0.25">
      <c r="A120" s="74" t="s">
        <v>565</v>
      </c>
      <c r="B120" s="31" t="s">
        <v>566</v>
      </c>
      <c r="C120" s="31" t="s">
        <v>2028</v>
      </c>
      <c r="D120" s="14">
        <v>2491</v>
      </c>
      <c r="E120" s="15">
        <v>18.62</v>
      </c>
      <c r="F120" s="53" t="s">
        <v>2022</v>
      </c>
      <c r="G120" s="75"/>
    </row>
    <row r="121" spans="1:7" x14ac:dyDescent="0.25">
      <c r="A121" s="74" t="s">
        <v>1071</v>
      </c>
      <c r="B121" s="31" t="s">
        <v>1072</v>
      </c>
      <c r="C121" s="31" t="s">
        <v>2032</v>
      </c>
      <c r="D121" s="14">
        <v>227</v>
      </c>
      <c r="E121" s="15">
        <v>8.2899999999999991</v>
      </c>
      <c r="F121" s="53" t="s">
        <v>2022</v>
      </c>
      <c r="G121" s="75"/>
    </row>
    <row r="122" spans="1:7" x14ac:dyDescent="0.25">
      <c r="A122" s="74" t="s">
        <v>1073</v>
      </c>
      <c r="B122" s="31" t="s">
        <v>1074</v>
      </c>
      <c r="C122" s="31" t="s">
        <v>615</v>
      </c>
      <c r="D122" s="14">
        <v>176</v>
      </c>
      <c r="E122" s="15">
        <v>2.19</v>
      </c>
      <c r="F122" s="53" t="s">
        <v>2022</v>
      </c>
      <c r="G122" s="75"/>
    </row>
    <row r="123" spans="1:7" x14ac:dyDescent="0.25">
      <c r="A123" s="76" t="s">
        <v>90</v>
      </c>
      <c r="B123" s="32"/>
      <c r="C123" s="32"/>
      <c r="D123" s="18"/>
      <c r="E123" s="35">
        <v>617498.89</v>
      </c>
      <c r="F123" s="36">
        <v>0.78680000000000005</v>
      </c>
      <c r="G123" s="77"/>
    </row>
    <row r="124" spans="1:7" x14ac:dyDescent="0.25">
      <c r="A124" s="76" t="s">
        <v>815</v>
      </c>
      <c r="B124" s="31"/>
      <c r="C124" s="31"/>
      <c r="D124" s="14"/>
      <c r="E124" s="15"/>
      <c r="F124" s="16"/>
      <c r="G124" s="75"/>
    </row>
    <row r="125" spans="1:7" x14ac:dyDescent="0.25">
      <c r="A125" s="76" t="s">
        <v>90</v>
      </c>
      <c r="B125" s="31"/>
      <c r="C125" s="31"/>
      <c r="D125" s="14"/>
      <c r="E125" s="37" t="s">
        <v>85</v>
      </c>
      <c r="F125" s="38" t="s">
        <v>85</v>
      </c>
      <c r="G125" s="75"/>
    </row>
    <row r="126" spans="1:7" x14ac:dyDescent="0.25">
      <c r="A126" s="78" t="s">
        <v>93</v>
      </c>
      <c r="B126" s="79"/>
      <c r="C126" s="79"/>
      <c r="D126" s="80"/>
      <c r="E126" s="28">
        <v>617498.89</v>
      </c>
      <c r="F126" s="29">
        <v>0.78680000000000005</v>
      </c>
      <c r="G126" s="77"/>
    </row>
    <row r="127" spans="1:7" x14ac:dyDescent="0.25">
      <c r="A127" s="74"/>
      <c r="B127" s="31"/>
      <c r="C127" s="31"/>
      <c r="D127" s="14"/>
      <c r="E127" s="15"/>
      <c r="F127" s="16"/>
      <c r="G127" s="75"/>
    </row>
    <row r="128" spans="1:7" x14ac:dyDescent="0.25">
      <c r="A128" s="76" t="s">
        <v>816</v>
      </c>
      <c r="B128" s="31"/>
      <c r="C128" s="31"/>
      <c r="D128" s="14"/>
      <c r="E128" s="15"/>
      <c r="F128" s="16"/>
      <c r="G128" s="75"/>
    </row>
    <row r="129" spans="1:7" x14ac:dyDescent="0.25">
      <c r="A129" s="76" t="s">
        <v>817</v>
      </c>
      <c r="B129" s="31"/>
      <c r="C129" s="31"/>
      <c r="D129" s="14"/>
      <c r="E129" s="15"/>
      <c r="F129" s="16"/>
      <c r="G129" s="75"/>
    </row>
    <row r="130" spans="1:7" x14ac:dyDescent="0.25">
      <c r="A130" s="74" t="s">
        <v>947</v>
      </c>
      <c r="B130" s="31"/>
      <c r="C130" s="31"/>
      <c r="D130" s="14">
        <v>1085150</v>
      </c>
      <c r="E130" s="15">
        <v>16013.56</v>
      </c>
      <c r="F130" s="16">
        <v>2.0417999999999999E-2</v>
      </c>
      <c r="G130" s="75"/>
    </row>
    <row r="131" spans="1:7" x14ac:dyDescent="0.25">
      <c r="A131" s="74" t="s">
        <v>1075</v>
      </c>
      <c r="B131" s="31"/>
      <c r="C131" s="31"/>
      <c r="D131" s="14">
        <v>23000</v>
      </c>
      <c r="E131" s="15">
        <v>8407.41</v>
      </c>
      <c r="F131" s="16">
        <v>1.072E-2</v>
      </c>
      <c r="G131" s="75"/>
    </row>
    <row r="132" spans="1:7" x14ac:dyDescent="0.25">
      <c r="A132" s="74" t="s">
        <v>1076</v>
      </c>
      <c r="B132" s="31"/>
      <c r="C132" s="31"/>
      <c r="D132" s="14">
        <v>115500</v>
      </c>
      <c r="E132" s="15">
        <v>4235.8999999999996</v>
      </c>
      <c r="F132" s="16">
        <v>5.4010000000000004E-3</v>
      </c>
      <c r="G132" s="75"/>
    </row>
    <row r="133" spans="1:7" x14ac:dyDescent="0.25">
      <c r="A133" s="74" t="s">
        <v>878</v>
      </c>
      <c r="B133" s="31"/>
      <c r="C133" s="31"/>
      <c r="D133" s="14">
        <v>495600</v>
      </c>
      <c r="E133" s="15">
        <v>3115.84</v>
      </c>
      <c r="F133" s="16">
        <v>3.9719999999999998E-3</v>
      </c>
      <c r="G133" s="75"/>
    </row>
    <row r="134" spans="1:7" x14ac:dyDescent="0.25">
      <c r="A134" s="74" t="s">
        <v>1077</v>
      </c>
      <c r="B134" s="31"/>
      <c r="C134" s="31"/>
      <c r="D134" s="14">
        <v>228500</v>
      </c>
      <c r="E134" s="15">
        <v>2858.65</v>
      </c>
      <c r="F134" s="16">
        <v>3.6440000000000001E-3</v>
      </c>
      <c r="G134" s="75"/>
    </row>
    <row r="135" spans="1:7" x14ac:dyDescent="0.25">
      <c r="A135" s="74" t="s">
        <v>1078</v>
      </c>
      <c r="B135" s="31"/>
      <c r="C135" s="31"/>
      <c r="D135" s="14">
        <v>18200</v>
      </c>
      <c r="E135" s="15">
        <v>281.14999999999998</v>
      </c>
      <c r="F135" s="16">
        <v>3.5799999999999997E-4</v>
      </c>
      <c r="G135" s="75"/>
    </row>
    <row r="136" spans="1:7" x14ac:dyDescent="0.25">
      <c r="A136" s="74" t="s">
        <v>891</v>
      </c>
      <c r="B136" s="31"/>
      <c r="C136" s="31"/>
      <c r="D136" s="14">
        <v>16800</v>
      </c>
      <c r="E136" s="15">
        <v>251.28</v>
      </c>
      <c r="F136" s="16">
        <v>3.2000000000000003E-4</v>
      </c>
      <c r="G136" s="75"/>
    </row>
    <row r="137" spans="1:7" x14ac:dyDescent="0.25">
      <c r="A137" s="74" t="s">
        <v>969</v>
      </c>
      <c r="B137" s="31"/>
      <c r="C137" s="31"/>
      <c r="D137" s="14">
        <v>32000</v>
      </c>
      <c r="E137" s="15">
        <v>80.67</v>
      </c>
      <c r="F137" s="16">
        <v>1.02E-4</v>
      </c>
      <c r="G137" s="75"/>
    </row>
    <row r="138" spans="1:7" x14ac:dyDescent="0.25">
      <c r="A138" s="74" t="s">
        <v>856</v>
      </c>
      <c r="B138" s="31"/>
      <c r="C138" s="31"/>
      <c r="D138" s="14">
        <v>150</v>
      </c>
      <c r="E138" s="15">
        <v>7.18</v>
      </c>
      <c r="F138" s="53" t="s">
        <v>2022</v>
      </c>
      <c r="G138" s="75"/>
    </row>
    <row r="139" spans="1:7" x14ac:dyDescent="0.25">
      <c r="A139" s="74" t="s">
        <v>928</v>
      </c>
      <c r="B139" s="31"/>
      <c r="C139" s="31"/>
      <c r="D139" s="39">
        <v>-900</v>
      </c>
      <c r="E139" s="24">
        <v>-20.77</v>
      </c>
      <c r="F139" s="25">
        <v>-2.5999999999999998E-5</v>
      </c>
      <c r="G139" s="75"/>
    </row>
    <row r="140" spans="1:7" x14ac:dyDescent="0.25">
      <c r="A140" s="74" t="s">
        <v>983</v>
      </c>
      <c r="B140" s="31"/>
      <c r="C140" s="31"/>
      <c r="D140" s="39">
        <v>-1200</v>
      </c>
      <c r="E140" s="24">
        <v>-22.96</v>
      </c>
      <c r="F140" s="25">
        <v>-2.9E-5</v>
      </c>
      <c r="G140" s="75"/>
    </row>
    <row r="141" spans="1:7" x14ac:dyDescent="0.25">
      <c r="A141" s="74" t="s">
        <v>955</v>
      </c>
      <c r="B141" s="31"/>
      <c r="C141" s="31"/>
      <c r="D141" s="39">
        <v>-15000</v>
      </c>
      <c r="E141" s="24">
        <v>-33.83</v>
      </c>
      <c r="F141" s="25">
        <v>-4.3000000000000002E-5</v>
      </c>
      <c r="G141" s="75"/>
    </row>
    <row r="142" spans="1:7" x14ac:dyDescent="0.25">
      <c r="A142" s="74" t="s">
        <v>981</v>
      </c>
      <c r="B142" s="31"/>
      <c r="C142" s="31"/>
      <c r="D142" s="39">
        <v>-1000</v>
      </c>
      <c r="E142" s="24">
        <v>-43.26</v>
      </c>
      <c r="F142" s="25">
        <v>-5.5000000000000002E-5</v>
      </c>
      <c r="G142" s="75"/>
    </row>
    <row r="143" spans="1:7" x14ac:dyDescent="0.25">
      <c r="A143" s="74" t="s">
        <v>914</v>
      </c>
      <c r="B143" s="31"/>
      <c r="C143" s="31"/>
      <c r="D143" s="39">
        <v>-9000</v>
      </c>
      <c r="E143" s="24">
        <v>-53.46</v>
      </c>
      <c r="F143" s="25">
        <v>-6.7999999999999999E-5</v>
      </c>
      <c r="G143" s="75"/>
    </row>
    <row r="144" spans="1:7" x14ac:dyDescent="0.25">
      <c r="A144" s="74" t="s">
        <v>930</v>
      </c>
      <c r="B144" s="31"/>
      <c r="C144" s="31"/>
      <c r="D144" s="39">
        <v>-7800</v>
      </c>
      <c r="E144" s="24">
        <v>-60.41</v>
      </c>
      <c r="F144" s="25">
        <v>-7.7000000000000001E-5</v>
      </c>
      <c r="G144" s="75"/>
    </row>
    <row r="145" spans="1:7" x14ac:dyDescent="0.25">
      <c r="A145" s="74" t="s">
        <v>919</v>
      </c>
      <c r="B145" s="31"/>
      <c r="C145" s="31"/>
      <c r="D145" s="39">
        <v>-27000</v>
      </c>
      <c r="E145" s="24">
        <v>-61.86</v>
      </c>
      <c r="F145" s="25">
        <v>-7.7999999999999999E-5</v>
      </c>
      <c r="G145" s="75"/>
    </row>
    <row r="146" spans="1:7" x14ac:dyDescent="0.25">
      <c r="A146" s="74" t="s">
        <v>986</v>
      </c>
      <c r="B146" s="31"/>
      <c r="C146" s="31"/>
      <c r="D146" s="39">
        <v>-7200</v>
      </c>
      <c r="E146" s="24">
        <v>-67.66</v>
      </c>
      <c r="F146" s="25">
        <v>-8.6000000000000003E-5</v>
      </c>
      <c r="G146" s="75"/>
    </row>
    <row r="147" spans="1:7" x14ac:dyDescent="0.25">
      <c r="A147" s="74" t="s">
        <v>881</v>
      </c>
      <c r="B147" s="31"/>
      <c r="C147" s="31"/>
      <c r="D147" s="39">
        <v>-27000</v>
      </c>
      <c r="E147" s="24">
        <v>-73.08</v>
      </c>
      <c r="F147" s="25">
        <v>-9.2999999999999997E-5</v>
      </c>
      <c r="G147" s="75"/>
    </row>
    <row r="148" spans="1:7" x14ac:dyDescent="0.25">
      <c r="A148" s="74" t="s">
        <v>900</v>
      </c>
      <c r="B148" s="31"/>
      <c r="C148" s="31"/>
      <c r="D148" s="39">
        <v>-29450</v>
      </c>
      <c r="E148" s="24">
        <v>-90.79</v>
      </c>
      <c r="F148" s="25">
        <v>-1.15E-4</v>
      </c>
      <c r="G148" s="75"/>
    </row>
    <row r="149" spans="1:7" x14ac:dyDescent="0.25">
      <c r="A149" s="74" t="s">
        <v>977</v>
      </c>
      <c r="B149" s="31"/>
      <c r="C149" s="31"/>
      <c r="D149" s="39">
        <v>-18700</v>
      </c>
      <c r="E149" s="24">
        <v>-101</v>
      </c>
      <c r="F149" s="25">
        <v>-1.2799999999999999E-4</v>
      </c>
      <c r="G149" s="75"/>
    </row>
    <row r="150" spans="1:7" x14ac:dyDescent="0.25">
      <c r="A150" s="74" t="s">
        <v>965</v>
      </c>
      <c r="B150" s="31"/>
      <c r="C150" s="31"/>
      <c r="D150" s="39">
        <v>-22500</v>
      </c>
      <c r="E150" s="24">
        <v>-110.81</v>
      </c>
      <c r="F150" s="25">
        <v>-1.4100000000000001E-4</v>
      </c>
      <c r="G150" s="75"/>
    </row>
    <row r="151" spans="1:7" x14ac:dyDescent="0.25">
      <c r="A151" s="74" t="s">
        <v>968</v>
      </c>
      <c r="B151" s="31"/>
      <c r="C151" s="31"/>
      <c r="D151" s="39">
        <v>-320000</v>
      </c>
      <c r="E151" s="24">
        <v>-112.8</v>
      </c>
      <c r="F151" s="25">
        <v>-1.4300000000000001E-4</v>
      </c>
      <c r="G151" s="75"/>
    </row>
    <row r="152" spans="1:7" x14ac:dyDescent="0.25">
      <c r="A152" s="74" t="s">
        <v>985</v>
      </c>
      <c r="B152" s="31"/>
      <c r="C152" s="31"/>
      <c r="D152" s="39">
        <v>-6105</v>
      </c>
      <c r="E152" s="24">
        <v>-117.63</v>
      </c>
      <c r="F152" s="25">
        <v>-1.4899999999999999E-4</v>
      </c>
      <c r="G152" s="75"/>
    </row>
    <row r="153" spans="1:7" x14ac:dyDescent="0.25">
      <c r="A153" s="74" t="s">
        <v>819</v>
      </c>
      <c r="B153" s="31"/>
      <c r="C153" s="31"/>
      <c r="D153" s="39">
        <v>-3000</v>
      </c>
      <c r="E153" s="24">
        <v>-153.5</v>
      </c>
      <c r="F153" s="25">
        <v>-1.95E-4</v>
      </c>
      <c r="G153" s="75"/>
    </row>
    <row r="154" spans="1:7" x14ac:dyDescent="0.25">
      <c r="A154" s="74" t="s">
        <v>938</v>
      </c>
      <c r="B154" s="31"/>
      <c r="C154" s="31"/>
      <c r="D154" s="39">
        <v>-104400</v>
      </c>
      <c r="E154" s="24">
        <v>-158.63999999999999</v>
      </c>
      <c r="F154" s="25">
        <v>-2.02E-4</v>
      </c>
      <c r="G154" s="75"/>
    </row>
    <row r="155" spans="1:7" x14ac:dyDescent="0.25">
      <c r="A155" s="74" t="s">
        <v>911</v>
      </c>
      <c r="B155" s="31"/>
      <c r="C155" s="31"/>
      <c r="D155" s="39">
        <v>-50400</v>
      </c>
      <c r="E155" s="24">
        <v>-182.3</v>
      </c>
      <c r="F155" s="25">
        <v>-2.32E-4</v>
      </c>
      <c r="G155" s="75"/>
    </row>
    <row r="156" spans="1:7" x14ac:dyDescent="0.25">
      <c r="A156" s="74" t="s">
        <v>918</v>
      </c>
      <c r="B156" s="31"/>
      <c r="C156" s="31"/>
      <c r="D156" s="39">
        <v>-100000</v>
      </c>
      <c r="E156" s="24">
        <v>-192</v>
      </c>
      <c r="F156" s="25">
        <v>-2.4399999999999999E-4</v>
      </c>
      <c r="G156" s="75"/>
    </row>
    <row r="157" spans="1:7" x14ac:dyDescent="0.25">
      <c r="A157" s="74" t="s">
        <v>978</v>
      </c>
      <c r="B157" s="31"/>
      <c r="C157" s="31"/>
      <c r="D157" s="39">
        <v>-11400</v>
      </c>
      <c r="E157" s="24">
        <v>-234.28</v>
      </c>
      <c r="F157" s="25">
        <v>-2.9799999999999998E-4</v>
      </c>
      <c r="G157" s="75"/>
    </row>
    <row r="158" spans="1:7" x14ac:dyDescent="0.25">
      <c r="A158" s="74" t="s">
        <v>964</v>
      </c>
      <c r="B158" s="31"/>
      <c r="C158" s="31"/>
      <c r="D158" s="39">
        <v>-284200</v>
      </c>
      <c r="E158" s="24">
        <v>-372.44</v>
      </c>
      <c r="F158" s="25">
        <v>-4.7399999999999997E-4</v>
      </c>
      <c r="G158" s="75"/>
    </row>
    <row r="159" spans="1:7" x14ac:dyDescent="0.25">
      <c r="A159" s="74" t="s">
        <v>951</v>
      </c>
      <c r="B159" s="31"/>
      <c r="C159" s="31"/>
      <c r="D159" s="39">
        <v>-182400</v>
      </c>
      <c r="E159" s="24">
        <v>-386.96</v>
      </c>
      <c r="F159" s="25">
        <v>-4.9299999999999995E-4</v>
      </c>
      <c r="G159" s="75"/>
    </row>
    <row r="160" spans="1:7" x14ac:dyDescent="0.25">
      <c r="A160" s="74" t="s">
        <v>989</v>
      </c>
      <c r="B160" s="31"/>
      <c r="C160" s="31"/>
      <c r="D160" s="39">
        <v>-168750</v>
      </c>
      <c r="E160" s="24">
        <v>-405.08</v>
      </c>
      <c r="F160" s="25">
        <v>-5.1599999999999997E-4</v>
      </c>
      <c r="G160" s="75"/>
    </row>
    <row r="161" spans="1:7" x14ac:dyDescent="0.25">
      <c r="A161" s="74" t="s">
        <v>895</v>
      </c>
      <c r="B161" s="31"/>
      <c r="C161" s="31"/>
      <c r="D161" s="39">
        <v>-22000</v>
      </c>
      <c r="E161" s="24">
        <v>-434.28</v>
      </c>
      <c r="F161" s="25">
        <v>-5.53E-4</v>
      </c>
      <c r="G161" s="75"/>
    </row>
    <row r="162" spans="1:7" x14ac:dyDescent="0.25">
      <c r="A162" s="74" t="s">
        <v>945</v>
      </c>
      <c r="B162" s="31"/>
      <c r="C162" s="31"/>
      <c r="D162" s="39">
        <v>-53300</v>
      </c>
      <c r="E162" s="24">
        <v>-546.29999999999995</v>
      </c>
      <c r="F162" s="25">
        <v>-6.96E-4</v>
      </c>
      <c r="G162" s="75"/>
    </row>
    <row r="163" spans="1:7" x14ac:dyDescent="0.25">
      <c r="A163" s="74" t="s">
        <v>832</v>
      </c>
      <c r="B163" s="31"/>
      <c r="C163" s="31"/>
      <c r="D163" s="39">
        <v>-116250</v>
      </c>
      <c r="E163" s="24">
        <v>-587.35</v>
      </c>
      <c r="F163" s="25">
        <v>-7.4799999999999997E-4</v>
      </c>
      <c r="G163" s="75"/>
    </row>
    <row r="164" spans="1:7" x14ac:dyDescent="0.25">
      <c r="A164" s="74" t="s">
        <v>994</v>
      </c>
      <c r="B164" s="31"/>
      <c r="C164" s="31"/>
      <c r="D164" s="39">
        <v>-145700</v>
      </c>
      <c r="E164" s="24">
        <v>-591.17999999999995</v>
      </c>
      <c r="F164" s="25">
        <v>-7.5299999999999998E-4</v>
      </c>
      <c r="G164" s="75"/>
    </row>
    <row r="165" spans="1:7" x14ac:dyDescent="0.25">
      <c r="A165" s="74" t="s">
        <v>833</v>
      </c>
      <c r="B165" s="31"/>
      <c r="C165" s="31"/>
      <c r="D165" s="39">
        <v>-348600</v>
      </c>
      <c r="E165" s="24">
        <v>-641.95000000000005</v>
      </c>
      <c r="F165" s="25">
        <v>-8.1800000000000004E-4</v>
      </c>
      <c r="G165" s="75"/>
    </row>
    <row r="166" spans="1:7" x14ac:dyDescent="0.25">
      <c r="A166" s="74" t="s">
        <v>973</v>
      </c>
      <c r="B166" s="31"/>
      <c r="C166" s="31"/>
      <c r="D166" s="39">
        <v>-1160000</v>
      </c>
      <c r="E166" s="24">
        <v>-721.52</v>
      </c>
      <c r="F166" s="25">
        <v>-9.19E-4</v>
      </c>
      <c r="G166" s="75"/>
    </row>
    <row r="167" spans="1:7" x14ac:dyDescent="0.25">
      <c r="A167" s="74" t="s">
        <v>933</v>
      </c>
      <c r="B167" s="31"/>
      <c r="C167" s="31"/>
      <c r="D167" s="39">
        <v>-210000</v>
      </c>
      <c r="E167" s="24">
        <v>-1122.6600000000001</v>
      </c>
      <c r="F167" s="25">
        <v>-1.431E-3</v>
      </c>
      <c r="G167" s="75"/>
    </row>
    <row r="168" spans="1:7" x14ac:dyDescent="0.25">
      <c r="A168" s="74" t="s">
        <v>995</v>
      </c>
      <c r="B168" s="31"/>
      <c r="C168" s="31"/>
      <c r="D168" s="39">
        <v>-157700</v>
      </c>
      <c r="E168" s="24">
        <v>-1194.26</v>
      </c>
      <c r="F168" s="25">
        <v>-1.5219999999999999E-3</v>
      </c>
      <c r="G168" s="75"/>
    </row>
    <row r="169" spans="1:7" x14ac:dyDescent="0.25">
      <c r="A169" s="74" t="s">
        <v>993</v>
      </c>
      <c r="B169" s="31"/>
      <c r="C169" s="31"/>
      <c r="D169" s="39">
        <v>-88000</v>
      </c>
      <c r="E169" s="24">
        <v>-1778.22</v>
      </c>
      <c r="F169" s="25">
        <v>-2.2669999999999999E-3</v>
      </c>
      <c r="G169" s="75"/>
    </row>
    <row r="170" spans="1:7" x14ac:dyDescent="0.25">
      <c r="A170" s="74" t="s">
        <v>991</v>
      </c>
      <c r="B170" s="31"/>
      <c r="C170" s="31"/>
      <c r="D170" s="39">
        <v>-639000</v>
      </c>
      <c r="E170" s="24">
        <v>-1847.99</v>
      </c>
      <c r="F170" s="25">
        <v>-2.356E-3</v>
      </c>
      <c r="G170" s="75"/>
    </row>
    <row r="171" spans="1:7" x14ac:dyDescent="0.25">
      <c r="A171" s="74" t="s">
        <v>990</v>
      </c>
      <c r="B171" s="31"/>
      <c r="C171" s="31"/>
      <c r="D171" s="39">
        <v>-2731250</v>
      </c>
      <c r="E171" s="24">
        <v>-2709.4</v>
      </c>
      <c r="F171" s="25">
        <v>-3.454E-3</v>
      </c>
      <c r="G171" s="75"/>
    </row>
    <row r="172" spans="1:7" x14ac:dyDescent="0.25">
      <c r="A172" s="74" t="s">
        <v>931</v>
      </c>
      <c r="B172" s="31"/>
      <c r="C172" s="31"/>
      <c r="D172" s="39">
        <v>-113250</v>
      </c>
      <c r="E172" s="24">
        <v>-4250.6099999999997</v>
      </c>
      <c r="F172" s="25">
        <v>-5.4190000000000002E-3</v>
      </c>
      <c r="G172" s="75"/>
    </row>
    <row r="173" spans="1:7" x14ac:dyDescent="0.25">
      <c r="A173" s="74" t="s">
        <v>997</v>
      </c>
      <c r="B173" s="31"/>
      <c r="C173" s="31"/>
      <c r="D173" s="39">
        <v>-660000</v>
      </c>
      <c r="E173" s="24">
        <v>-5133.8100000000004</v>
      </c>
      <c r="F173" s="25">
        <v>-6.5449999999999996E-3</v>
      </c>
      <c r="G173" s="75"/>
    </row>
    <row r="174" spans="1:7" x14ac:dyDescent="0.25">
      <c r="A174" s="74" t="s">
        <v>1079</v>
      </c>
      <c r="B174" s="31"/>
      <c r="C174" s="31"/>
      <c r="D174" s="39">
        <v>-468600</v>
      </c>
      <c r="E174" s="24">
        <v>-7080.08</v>
      </c>
      <c r="F174" s="25">
        <v>-9.0270000000000003E-3</v>
      </c>
      <c r="G174" s="75"/>
    </row>
    <row r="175" spans="1:7" x14ac:dyDescent="0.25">
      <c r="A175" s="74" t="s">
        <v>1080</v>
      </c>
      <c r="B175" s="31"/>
      <c r="C175" s="31"/>
      <c r="D175" s="39">
        <v>-87800</v>
      </c>
      <c r="E175" s="24">
        <v>-15404.03</v>
      </c>
      <c r="F175" s="25">
        <v>-1.9640999999999999E-2</v>
      </c>
      <c r="G175" s="75"/>
    </row>
    <row r="176" spans="1:7" x14ac:dyDescent="0.25">
      <c r="A176" s="76" t="s">
        <v>90</v>
      </c>
      <c r="B176" s="32"/>
      <c r="C176" s="32"/>
      <c r="D176" s="18"/>
      <c r="E176" s="40">
        <v>-11847.52</v>
      </c>
      <c r="F176" s="41">
        <v>-1.5089999999999999E-2</v>
      </c>
      <c r="G176" s="77"/>
    </row>
    <row r="177" spans="1:7" x14ac:dyDescent="0.25">
      <c r="A177" s="74"/>
      <c r="B177" s="31"/>
      <c r="C177" s="31"/>
      <c r="D177" s="14"/>
      <c r="E177" s="15"/>
      <c r="F177" s="16"/>
      <c r="G177" s="75"/>
    </row>
    <row r="178" spans="1:7" x14ac:dyDescent="0.25">
      <c r="A178" s="74"/>
      <c r="B178" s="31"/>
      <c r="C178" s="31"/>
      <c r="D178" s="14"/>
      <c r="E178" s="15"/>
      <c r="F178" s="16"/>
      <c r="G178" s="75"/>
    </row>
    <row r="179" spans="1:7" x14ac:dyDescent="0.25">
      <c r="A179" s="76" t="s">
        <v>1081</v>
      </c>
      <c r="B179" s="32"/>
      <c r="C179" s="32"/>
      <c r="D179" s="18"/>
      <c r="E179" s="42"/>
      <c r="F179" s="21"/>
      <c r="G179" s="77"/>
    </row>
    <row r="180" spans="1:7" x14ac:dyDescent="0.25">
      <c r="A180" s="74" t="s">
        <v>1082</v>
      </c>
      <c r="B180" s="31"/>
      <c r="C180" s="31"/>
      <c r="D180" s="14">
        <v>475000</v>
      </c>
      <c r="E180" s="15">
        <v>2998.68</v>
      </c>
      <c r="F180" s="16">
        <v>3.8E-3</v>
      </c>
      <c r="G180" s="75"/>
    </row>
    <row r="181" spans="1:7" x14ac:dyDescent="0.25">
      <c r="A181" s="74" t="s">
        <v>1083</v>
      </c>
      <c r="B181" s="31"/>
      <c r="C181" s="31"/>
      <c r="D181" s="14">
        <v>260000</v>
      </c>
      <c r="E181" s="15">
        <v>2634.32</v>
      </c>
      <c r="F181" s="16">
        <v>3.3999999999999998E-3</v>
      </c>
      <c r="G181" s="75"/>
    </row>
    <row r="182" spans="1:7" x14ac:dyDescent="0.25">
      <c r="A182" s="74" t="s">
        <v>1084</v>
      </c>
      <c r="B182" s="31"/>
      <c r="C182" s="31"/>
      <c r="D182" s="14">
        <v>85000</v>
      </c>
      <c r="E182" s="15">
        <v>1245.55</v>
      </c>
      <c r="F182" s="16">
        <v>1.6000000000000001E-3</v>
      </c>
      <c r="G182" s="75"/>
    </row>
    <row r="183" spans="1:7" x14ac:dyDescent="0.25">
      <c r="A183" s="76" t="s">
        <v>90</v>
      </c>
      <c r="B183" s="32"/>
      <c r="C183" s="32"/>
      <c r="D183" s="18"/>
      <c r="E183" s="35">
        <v>6878.55</v>
      </c>
      <c r="F183" s="36">
        <v>8.8000000000000005E-3</v>
      </c>
      <c r="G183" s="77"/>
    </row>
    <row r="184" spans="1:7" x14ac:dyDescent="0.25">
      <c r="A184" s="74"/>
      <c r="B184" s="31"/>
      <c r="C184" s="31"/>
      <c r="D184" s="14"/>
      <c r="E184" s="15"/>
      <c r="F184" s="16"/>
      <c r="G184" s="75"/>
    </row>
    <row r="185" spans="1:7" x14ac:dyDescent="0.25">
      <c r="A185" s="78" t="s">
        <v>93</v>
      </c>
      <c r="B185" s="79"/>
      <c r="C185" s="79"/>
      <c r="D185" s="80"/>
      <c r="E185" s="35">
        <v>6878.55</v>
      </c>
      <c r="F185" s="36">
        <v>8.8000000000000005E-3</v>
      </c>
      <c r="G185" s="77"/>
    </row>
    <row r="186" spans="1:7" x14ac:dyDescent="0.25">
      <c r="A186" s="76" t="s">
        <v>86</v>
      </c>
      <c r="B186" s="31"/>
      <c r="C186" s="31"/>
      <c r="D186" s="14"/>
      <c r="E186" s="15"/>
      <c r="F186" s="16"/>
      <c r="G186" s="75"/>
    </row>
    <row r="187" spans="1:7" x14ac:dyDescent="0.25">
      <c r="A187" s="76" t="s">
        <v>87</v>
      </c>
      <c r="B187" s="31"/>
      <c r="C187" s="31"/>
      <c r="D187" s="14"/>
      <c r="E187" s="15"/>
      <c r="F187" s="16"/>
      <c r="G187" s="75"/>
    </row>
    <row r="188" spans="1:7" x14ac:dyDescent="0.25">
      <c r="A188" s="74" t="s">
        <v>1952</v>
      </c>
      <c r="B188" s="31" t="s">
        <v>1085</v>
      </c>
      <c r="C188" s="31" t="s">
        <v>118</v>
      </c>
      <c r="D188" s="14">
        <v>10000000</v>
      </c>
      <c r="E188" s="15">
        <v>9955.5499999999993</v>
      </c>
      <c r="F188" s="16">
        <v>1.2699999999999999E-2</v>
      </c>
      <c r="G188" s="75">
        <v>5.3900000000000003E-2</v>
      </c>
    </row>
    <row r="189" spans="1:7" x14ac:dyDescent="0.25">
      <c r="A189" s="74" t="s">
        <v>1802</v>
      </c>
      <c r="B189" s="31" t="s">
        <v>301</v>
      </c>
      <c r="C189" s="31" t="s">
        <v>121</v>
      </c>
      <c r="D189" s="14">
        <v>10000000</v>
      </c>
      <c r="E189" s="15">
        <v>9903.86</v>
      </c>
      <c r="F189" s="16">
        <v>1.26E-2</v>
      </c>
      <c r="G189" s="75">
        <v>6.0249999999999998E-2</v>
      </c>
    </row>
    <row r="190" spans="1:7" x14ac:dyDescent="0.25">
      <c r="A190" s="74" t="s">
        <v>1628</v>
      </c>
      <c r="B190" s="31" t="s">
        <v>119</v>
      </c>
      <c r="C190" s="31" t="s">
        <v>118</v>
      </c>
      <c r="D190" s="14">
        <v>5000000</v>
      </c>
      <c r="E190" s="15">
        <v>5083.47</v>
      </c>
      <c r="F190" s="16">
        <v>6.4999999999999997E-3</v>
      </c>
      <c r="G190" s="75">
        <v>5.0200000000000002E-2</v>
      </c>
    </row>
    <row r="191" spans="1:7" x14ac:dyDescent="0.25">
      <c r="A191" s="74" t="s">
        <v>1953</v>
      </c>
      <c r="B191" s="31" t="s">
        <v>1086</v>
      </c>
      <c r="C191" s="31" t="s">
        <v>121</v>
      </c>
      <c r="D191" s="14">
        <v>5000000</v>
      </c>
      <c r="E191" s="15">
        <v>5018.96</v>
      </c>
      <c r="F191" s="16">
        <v>6.4000000000000003E-3</v>
      </c>
      <c r="G191" s="75">
        <v>5.04E-2</v>
      </c>
    </row>
    <row r="192" spans="1:7" x14ac:dyDescent="0.25">
      <c r="A192" s="74" t="s">
        <v>1954</v>
      </c>
      <c r="B192" s="31" t="s">
        <v>1087</v>
      </c>
      <c r="C192" s="31" t="s">
        <v>121</v>
      </c>
      <c r="D192" s="14">
        <v>2500000</v>
      </c>
      <c r="E192" s="15">
        <v>2597.48</v>
      </c>
      <c r="F192" s="16">
        <v>3.3E-3</v>
      </c>
      <c r="G192" s="75">
        <v>7.5870000000000007E-2</v>
      </c>
    </row>
    <row r="193" spans="1:7" x14ac:dyDescent="0.25">
      <c r="A193" s="74" t="s">
        <v>1955</v>
      </c>
      <c r="B193" s="31" t="s">
        <v>1088</v>
      </c>
      <c r="C193" s="31" t="s">
        <v>146</v>
      </c>
      <c r="D193" s="14">
        <v>2500000</v>
      </c>
      <c r="E193" s="15">
        <v>2541.35</v>
      </c>
      <c r="F193" s="16">
        <v>3.2000000000000002E-3</v>
      </c>
      <c r="G193" s="75">
        <v>6.8499000000000004E-2</v>
      </c>
    </row>
    <row r="194" spans="1:7" x14ac:dyDescent="0.25">
      <c r="A194" s="74" t="s">
        <v>1956</v>
      </c>
      <c r="B194" s="31" t="s">
        <v>1089</v>
      </c>
      <c r="C194" s="31" t="s">
        <v>121</v>
      </c>
      <c r="D194" s="14">
        <v>33254</v>
      </c>
      <c r="E194" s="15">
        <v>9.61</v>
      </c>
      <c r="F194" s="53" t="s">
        <v>2022</v>
      </c>
      <c r="G194" s="75">
        <v>5.6500000000000002E-2</v>
      </c>
    </row>
    <row r="195" spans="1:7" x14ac:dyDescent="0.25">
      <c r="A195" s="76" t="s">
        <v>90</v>
      </c>
      <c r="B195" s="32"/>
      <c r="C195" s="32"/>
      <c r="D195" s="18"/>
      <c r="E195" s="35">
        <v>35110.28</v>
      </c>
      <c r="F195" s="36">
        <v>4.4699999999999997E-2</v>
      </c>
      <c r="G195" s="77"/>
    </row>
    <row r="196" spans="1:7" x14ac:dyDescent="0.25">
      <c r="A196" s="74"/>
      <c r="B196" s="31"/>
      <c r="C196" s="31"/>
      <c r="D196" s="14"/>
      <c r="E196" s="15"/>
      <c r="F196" s="16"/>
      <c r="G196" s="75"/>
    </row>
    <row r="197" spans="1:7" x14ac:dyDescent="0.25">
      <c r="A197" s="76" t="s">
        <v>195</v>
      </c>
      <c r="B197" s="31"/>
      <c r="C197" s="31"/>
      <c r="D197" s="14"/>
      <c r="E197" s="15"/>
      <c r="F197" s="16"/>
      <c r="G197" s="75"/>
    </row>
    <row r="198" spans="1:7" x14ac:dyDescent="0.25">
      <c r="A198" s="74" t="s">
        <v>1885</v>
      </c>
      <c r="B198" s="31" t="s">
        <v>388</v>
      </c>
      <c r="C198" s="31" t="s">
        <v>197</v>
      </c>
      <c r="D198" s="14">
        <v>16000000</v>
      </c>
      <c r="E198" s="15">
        <v>15784.43</v>
      </c>
      <c r="F198" s="16">
        <v>2.01E-2</v>
      </c>
      <c r="G198" s="75">
        <v>6.0107000000000001E-2</v>
      </c>
    </row>
    <row r="199" spans="1:7" x14ac:dyDescent="0.25">
      <c r="A199" s="74" t="s">
        <v>1809</v>
      </c>
      <c r="B199" s="31" t="s">
        <v>307</v>
      </c>
      <c r="C199" s="31" t="s">
        <v>197</v>
      </c>
      <c r="D199" s="14">
        <v>15000000</v>
      </c>
      <c r="E199" s="15">
        <v>14804.85</v>
      </c>
      <c r="F199" s="16">
        <v>1.89E-2</v>
      </c>
      <c r="G199" s="75">
        <v>5.6665E-2</v>
      </c>
    </row>
    <row r="200" spans="1:7" x14ac:dyDescent="0.25">
      <c r="A200" s="74" t="s">
        <v>1935</v>
      </c>
      <c r="B200" s="31" t="s">
        <v>1003</v>
      </c>
      <c r="C200" s="31" t="s">
        <v>197</v>
      </c>
      <c r="D200" s="14">
        <v>5000000</v>
      </c>
      <c r="E200" s="15">
        <v>5063.93</v>
      </c>
      <c r="F200" s="16">
        <v>6.4999999999999997E-3</v>
      </c>
      <c r="G200" s="75">
        <v>4.1568000000000001E-2</v>
      </c>
    </row>
    <row r="201" spans="1:7" x14ac:dyDescent="0.25">
      <c r="A201" s="74" t="s">
        <v>1957</v>
      </c>
      <c r="B201" s="31" t="s">
        <v>1090</v>
      </c>
      <c r="C201" s="31" t="s">
        <v>197</v>
      </c>
      <c r="D201" s="14">
        <v>2500000</v>
      </c>
      <c r="E201" s="15">
        <v>2569.23</v>
      </c>
      <c r="F201" s="16">
        <v>3.3E-3</v>
      </c>
      <c r="G201" s="75">
        <v>4.6136000000000003E-2</v>
      </c>
    </row>
    <row r="202" spans="1:7" x14ac:dyDescent="0.25">
      <c r="A202" s="74" t="s">
        <v>1933</v>
      </c>
      <c r="B202" s="31" t="s">
        <v>999</v>
      </c>
      <c r="C202" s="31" t="s">
        <v>197</v>
      </c>
      <c r="D202" s="14">
        <v>2500000</v>
      </c>
      <c r="E202" s="15">
        <v>2520.67</v>
      </c>
      <c r="F202" s="16">
        <v>3.2000000000000002E-3</v>
      </c>
      <c r="G202" s="75">
        <v>3.7718000000000002E-2</v>
      </c>
    </row>
    <row r="203" spans="1:7" x14ac:dyDescent="0.25">
      <c r="A203" s="74" t="s">
        <v>1934</v>
      </c>
      <c r="B203" s="31" t="s">
        <v>1000</v>
      </c>
      <c r="C203" s="31" t="s">
        <v>197</v>
      </c>
      <c r="D203" s="14">
        <v>2500000</v>
      </c>
      <c r="E203" s="15">
        <v>2513.94</v>
      </c>
      <c r="F203" s="16">
        <v>3.2000000000000002E-3</v>
      </c>
      <c r="G203" s="75">
        <v>3.6000999999999998E-2</v>
      </c>
    </row>
    <row r="204" spans="1:7" x14ac:dyDescent="0.25">
      <c r="A204" s="76" t="s">
        <v>90</v>
      </c>
      <c r="B204" s="32"/>
      <c r="C204" s="32"/>
      <c r="D204" s="18"/>
      <c r="E204" s="35">
        <v>43257.05</v>
      </c>
      <c r="F204" s="36">
        <v>5.5199999999999999E-2</v>
      </c>
      <c r="G204" s="77"/>
    </row>
    <row r="205" spans="1:7" x14ac:dyDescent="0.25">
      <c r="A205" s="76"/>
      <c r="B205" s="32"/>
      <c r="C205" s="32"/>
      <c r="D205" s="18"/>
      <c r="E205" s="42"/>
      <c r="F205" s="21"/>
      <c r="G205" s="77"/>
    </row>
    <row r="206" spans="1:7" x14ac:dyDescent="0.25">
      <c r="A206" s="76" t="s">
        <v>308</v>
      </c>
      <c r="B206" s="31"/>
      <c r="C206" s="31"/>
      <c r="D206" s="14"/>
      <c r="E206" s="15"/>
      <c r="F206" s="16"/>
      <c r="G206" s="75"/>
    </row>
    <row r="207" spans="1:7" x14ac:dyDescent="0.25">
      <c r="A207" s="74" t="s">
        <v>1958</v>
      </c>
      <c r="B207" s="31" t="s">
        <v>1091</v>
      </c>
      <c r="C207" s="31" t="s">
        <v>197</v>
      </c>
      <c r="D207" s="14">
        <v>10000000</v>
      </c>
      <c r="E207" s="15">
        <v>10279.1</v>
      </c>
      <c r="F207" s="16">
        <v>1.3100000000000001E-2</v>
      </c>
      <c r="G207" s="75">
        <v>6.5472000000000002E-2</v>
      </c>
    </row>
    <row r="208" spans="1:7" x14ac:dyDescent="0.25">
      <c r="A208" s="76" t="s">
        <v>90</v>
      </c>
      <c r="B208" s="32"/>
      <c r="C208" s="32"/>
      <c r="D208" s="18"/>
      <c r="E208" s="35">
        <v>10279.1</v>
      </c>
      <c r="F208" s="36">
        <v>1.3100000000000001E-2</v>
      </c>
      <c r="G208" s="77"/>
    </row>
    <row r="209" spans="1:7" x14ac:dyDescent="0.25">
      <c r="A209" s="74"/>
      <c r="B209" s="31"/>
      <c r="C209" s="31"/>
      <c r="D209" s="14"/>
      <c r="E209" s="15"/>
      <c r="F209" s="16"/>
      <c r="G209" s="75"/>
    </row>
    <row r="210" spans="1:7" x14ac:dyDescent="0.25">
      <c r="A210" s="74"/>
      <c r="B210" s="31"/>
      <c r="C210" s="31"/>
      <c r="D210" s="14"/>
      <c r="E210" s="15"/>
      <c r="F210" s="16"/>
      <c r="G210" s="75"/>
    </row>
    <row r="211" spans="1:7" x14ac:dyDescent="0.25">
      <c r="A211" s="76" t="s">
        <v>91</v>
      </c>
      <c r="B211" s="31"/>
      <c r="C211" s="31"/>
      <c r="D211" s="14"/>
      <c r="E211" s="15"/>
      <c r="F211" s="16"/>
      <c r="G211" s="75"/>
    </row>
    <row r="212" spans="1:7" x14ac:dyDescent="0.25">
      <c r="A212" s="76" t="s">
        <v>90</v>
      </c>
      <c r="B212" s="31"/>
      <c r="C212" s="31"/>
      <c r="D212" s="14"/>
      <c r="E212" s="37" t="s">
        <v>85</v>
      </c>
      <c r="F212" s="38" t="s">
        <v>85</v>
      </c>
      <c r="G212" s="75"/>
    </row>
    <row r="213" spans="1:7" x14ac:dyDescent="0.25">
      <c r="A213" s="74"/>
      <c r="B213" s="31"/>
      <c r="C213" s="31"/>
      <c r="D213" s="14"/>
      <c r="E213" s="15"/>
      <c r="F213" s="16"/>
      <c r="G213" s="75"/>
    </row>
    <row r="214" spans="1:7" x14ac:dyDescent="0.25">
      <c r="A214" s="76" t="s">
        <v>92</v>
      </c>
      <c r="B214" s="31"/>
      <c r="C214" s="31"/>
      <c r="D214" s="14"/>
      <c r="E214" s="15"/>
      <c r="F214" s="16"/>
      <c r="G214" s="75"/>
    </row>
    <row r="215" spans="1:7" x14ac:dyDescent="0.25">
      <c r="A215" s="76" t="s">
        <v>90</v>
      </c>
      <c r="B215" s="31"/>
      <c r="C215" s="31"/>
      <c r="D215" s="14"/>
      <c r="E215" s="37" t="s">
        <v>85</v>
      </c>
      <c r="F215" s="38" t="s">
        <v>85</v>
      </c>
      <c r="G215" s="75"/>
    </row>
    <row r="216" spans="1:7" x14ac:dyDescent="0.25">
      <c r="A216" s="74"/>
      <c r="B216" s="31"/>
      <c r="C216" s="31"/>
      <c r="D216" s="14"/>
      <c r="E216" s="15"/>
      <c r="F216" s="16"/>
      <c r="G216" s="75"/>
    </row>
    <row r="217" spans="1:7" x14ac:dyDescent="0.25">
      <c r="A217" s="78" t="s">
        <v>93</v>
      </c>
      <c r="B217" s="79"/>
      <c r="C217" s="79"/>
      <c r="D217" s="80"/>
      <c r="E217" s="35">
        <v>88646.43</v>
      </c>
      <c r="F217" s="36">
        <v>0.113</v>
      </c>
      <c r="G217" s="77"/>
    </row>
    <row r="218" spans="1:7" x14ac:dyDescent="0.25">
      <c r="A218" s="74"/>
      <c r="B218" s="31"/>
      <c r="C218" s="31"/>
      <c r="D218" s="14"/>
      <c r="E218" s="15"/>
      <c r="F218" s="16"/>
      <c r="G218" s="75"/>
    </row>
    <row r="219" spans="1:7" x14ac:dyDescent="0.25">
      <c r="A219" s="76" t="s">
        <v>94</v>
      </c>
      <c r="B219" s="31"/>
      <c r="C219" s="31"/>
      <c r="D219" s="14"/>
      <c r="E219" s="15"/>
      <c r="F219" s="16"/>
      <c r="G219" s="75"/>
    </row>
    <row r="220" spans="1:7" x14ac:dyDescent="0.25">
      <c r="A220" s="74"/>
      <c r="B220" s="31"/>
      <c r="C220" s="31"/>
      <c r="D220" s="14"/>
      <c r="E220" s="15"/>
      <c r="F220" s="16"/>
      <c r="G220" s="75"/>
    </row>
    <row r="221" spans="1:7" x14ac:dyDescent="0.25">
      <c r="A221" s="76" t="s">
        <v>330</v>
      </c>
      <c r="B221" s="31"/>
      <c r="C221" s="31"/>
      <c r="D221" s="14"/>
      <c r="E221" s="15"/>
      <c r="F221" s="16"/>
      <c r="G221" s="75"/>
    </row>
    <row r="222" spans="1:7" x14ac:dyDescent="0.25">
      <c r="A222" s="74" t="s">
        <v>1944</v>
      </c>
      <c r="B222" s="31" t="s">
        <v>1007</v>
      </c>
      <c r="C222" s="31" t="s">
        <v>197</v>
      </c>
      <c r="D222" s="14">
        <v>40000000</v>
      </c>
      <c r="E222" s="15">
        <v>39870</v>
      </c>
      <c r="F222" s="16">
        <v>5.0799999999999998E-2</v>
      </c>
      <c r="G222" s="75">
        <v>3.5002999999999999E-2</v>
      </c>
    </row>
    <row r="223" spans="1:7" x14ac:dyDescent="0.25">
      <c r="A223" s="74" t="s">
        <v>1959</v>
      </c>
      <c r="B223" s="31" t="s">
        <v>1092</v>
      </c>
      <c r="C223" s="31" t="s">
        <v>197</v>
      </c>
      <c r="D223" s="14">
        <v>2500000</v>
      </c>
      <c r="E223" s="15">
        <v>2415.8000000000002</v>
      </c>
      <c r="F223" s="16">
        <v>3.0999999999999999E-3</v>
      </c>
      <c r="G223" s="75">
        <v>4.4484000000000003E-2</v>
      </c>
    </row>
    <row r="224" spans="1:7" x14ac:dyDescent="0.25">
      <c r="A224" s="74" t="s">
        <v>1950</v>
      </c>
      <c r="B224" s="31" t="s">
        <v>1013</v>
      </c>
      <c r="C224" s="31" t="s">
        <v>197</v>
      </c>
      <c r="D224" s="14">
        <v>500000</v>
      </c>
      <c r="E224" s="15">
        <v>483.55</v>
      </c>
      <c r="F224" s="16">
        <v>5.9999999999999995E-4</v>
      </c>
      <c r="G224" s="75">
        <v>4.4499999999999998E-2</v>
      </c>
    </row>
    <row r="225" spans="1:9" x14ac:dyDescent="0.25">
      <c r="A225" s="76" t="s">
        <v>90</v>
      </c>
      <c r="B225" s="32"/>
      <c r="C225" s="32"/>
      <c r="D225" s="18"/>
      <c r="E225" s="35">
        <v>42769.35</v>
      </c>
      <c r="F225" s="36">
        <v>5.45E-2</v>
      </c>
      <c r="G225" s="77"/>
    </row>
    <row r="226" spans="1:9" x14ac:dyDescent="0.25">
      <c r="A226" s="76"/>
      <c r="B226" s="32"/>
      <c r="C226" s="32"/>
      <c r="D226" s="18"/>
      <c r="E226" s="42"/>
      <c r="F226" s="21"/>
      <c r="G226" s="77"/>
    </row>
    <row r="227" spans="1:9" x14ac:dyDescent="0.25">
      <c r="A227" s="76" t="s">
        <v>95</v>
      </c>
      <c r="B227" s="31"/>
      <c r="C227" s="31"/>
      <c r="D227" s="14"/>
      <c r="E227" s="15"/>
      <c r="F227" s="16"/>
      <c r="G227" s="75"/>
    </row>
    <row r="228" spans="1:9" x14ac:dyDescent="0.25">
      <c r="A228" s="74" t="s">
        <v>1960</v>
      </c>
      <c r="B228" s="31" t="s">
        <v>1093</v>
      </c>
      <c r="C228" s="31" t="s">
        <v>97</v>
      </c>
      <c r="D228" s="14">
        <v>10000000</v>
      </c>
      <c r="E228" s="15">
        <v>9725.4500000000007</v>
      </c>
      <c r="F228" s="16">
        <v>1.24E-2</v>
      </c>
      <c r="G228" s="75">
        <v>4.5999999999999999E-2</v>
      </c>
      <c r="I228" s="55"/>
    </row>
    <row r="229" spans="1:9" x14ac:dyDescent="0.25">
      <c r="A229" s="76" t="s">
        <v>90</v>
      </c>
      <c r="B229" s="32"/>
      <c r="C229" s="32"/>
      <c r="D229" s="18"/>
      <c r="E229" s="35">
        <v>9725.4500000000007</v>
      </c>
      <c r="F229" s="36">
        <v>1.24E-2</v>
      </c>
      <c r="G229" s="77"/>
    </row>
    <row r="230" spans="1:9" x14ac:dyDescent="0.25">
      <c r="A230" s="74"/>
      <c r="B230" s="31"/>
      <c r="C230" s="31"/>
      <c r="D230" s="14"/>
      <c r="E230" s="15"/>
      <c r="F230" s="16"/>
      <c r="G230" s="75"/>
    </row>
    <row r="231" spans="1:9" x14ac:dyDescent="0.25">
      <c r="A231" s="76" t="s">
        <v>103</v>
      </c>
      <c r="B231" s="31"/>
      <c r="C231" s="31"/>
      <c r="D231" s="14"/>
      <c r="E231" s="15"/>
      <c r="F231" s="16"/>
      <c r="G231" s="75"/>
    </row>
    <row r="232" spans="1:9" x14ac:dyDescent="0.25">
      <c r="A232" s="74" t="s">
        <v>1961</v>
      </c>
      <c r="B232" s="31" t="s">
        <v>1094</v>
      </c>
      <c r="C232" s="31" t="s">
        <v>97</v>
      </c>
      <c r="D232" s="14">
        <v>5000000</v>
      </c>
      <c r="E232" s="15">
        <v>4913.66</v>
      </c>
      <c r="F232" s="16">
        <v>6.3E-3</v>
      </c>
      <c r="G232" s="75">
        <v>4.4850000000000001E-2</v>
      </c>
      <c r="I232" s="55"/>
    </row>
    <row r="233" spans="1:9" x14ac:dyDescent="0.25">
      <c r="A233" s="76" t="s">
        <v>90</v>
      </c>
      <c r="B233" s="32"/>
      <c r="C233" s="32"/>
      <c r="D233" s="18"/>
      <c r="E233" s="35">
        <v>4913.66</v>
      </c>
      <c r="F233" s="36">
        <v>6.3E-3</v>
      </c>
      <c r="G233" s="77"/>
    </row>
    <row r="234" spans="1:9" x14ac:dyDescent="0.25">
      <c r="A234" s="74"/>
      <c r="B234" s="31"/>
      <c r="C234" s="31"/>
      <c r="D234" s="14"/>
      <c r="E234" s="15"/>
      <c r="F234" s="16"/>
      <c r="G234" s="75"/>
    </row>
    <row r="235" spans="1:9" x14ac:dyDescent="0.25">
      <c r="A235" s="78" t="s">
        <v>93</v>
      </c>
      <c r="B235" s="79"/>
      <c r="C235" s="79"/>
      <c r="D235" s="80"/>
      <c r="E235" s="35">
        <v>57408.46</v>
      </c>
      <c r="F235" s="36">
        <v>7.3200000000000001E-2</v>
      </c>
      <c r="G235" s="77"/>
    </row>
    <row r="236" spans="1:9" x14ac:dyDescent="0.25">
      <c r="A236" s="74"/>
      <c r="B236" s="31"/>
      <c r="C236" s="31"/>
      <c r="D236" s="14"/>
      <c r="E236" s="15"/>
      <c r="F236" s="16"/>
      <c r="G236" s="75"/>
    </row>
    <row r="237" spans="1:9" x14ac:dyDescent="0.25">
      <c r="A237" s="74"/>
      <c r="B237" s="31"/>
      <c r="C237" s="31"/>
      <c r="D237" s="14"/>
      <c r="E237" s="15"/>
      <c r="F237" s="16"/>
      <c r="G237" s="75"/>
    </row>
    <row r="238" spans="1:9" x14ac:dyDescent="0.25">
      <c r="A238" s="76" t="s">
        <v>319</v>
      </c>
      <c r="B238" s="31"/>
      <c r="C238" s="31"/>
      <c r="D238" s="14"/>
      <c r="E238" s="15"/>
      <c r="F238" s="16"/>
      <c r="G238" s="75"/>
    </row>
    <row r="239" spans="1:9" x14ac:dyDescent="0.25">
      <c r="A239" s="74" t="s">
        <v>1095</v>
      </c>
      <c r="B239" s="31" t="s">
        <v>1096</v>
      </c>
      <c r="C239" s="31"/>
      <c r="D239" s="14">
        <v>43997800.109999999</v>
      </c>
      <c r="E239" s="15">
        <v>4419.8</v>
      </c>
      <c r="F239" s="16">
        <v>5.5999999999999999E-3</v>
      </c>
      <c r="G239" s="75"/>
    </row>
    <row r="240" spans="1:9" x14ac:dyDescent="0.25">
      <c r="A240" s="74"/>
      <c r="B240" s="31"/>
      <c r="C240" s="31"/>
      <c r="D240" s="14"/>
      <c r="E240" s="15"/>
      <c r="F240" s="16"/>
      <c r="G240" s="75"/>
    </row>
    <row r="241" spans="1:7" x14ac:dyDescent="0.25">
      <c r="A241" s="78" t="s">
        <v>93</v>
      </c>
      <c r="B241" s="79"/>
      <c r="C241" s="79"/>
      <c r="D241" s="80"/>
      <c r="E241" s="35">
        <v>4419.8</v>
      </c>
      <c r="F241" s="36">
        <v>5.5999999999999999E-3</v>
      </c>
      <c r="G241" s="77"/>
    </row>
    <row r="242" spans="1:7" x14ac:dyDescent="0.25">
      <c r="A242" s="74"/>
      <c r="B242" s="31"/>
      <c r="C242" s="31"/>
      <c r="D242" s="14"/>
      <c r="E242" s="15"/>
      <c r="F242" s="16"/>
      <c r="G242" s="75"/>
    </row>
    <row r="243" spans="1:7" x14ac:dyDescent="0.25">
      <c r="A243" s="76" t="s">
        <v>110</v>
      </c>
      <c r="B243" s="31"/>
      <c r="C243" s="31"/>
      <c r="D243" s="14"/>
      <c r="E243" s="15"/>
      <c r="F243" s="16"/>
      <c r="G243" s="75"/>
    </row>
    <row r="244" spans="1:7" x14ac:dyDescent="0.25">
      <c r="A244" s="74" t="s">
        <v>111</v>
      </c>
      <c r="B244" s="31"/>
      <c r="C244" s="31"/>
      <c r="D244" s="14"/>
      <c r="E244" s="15">
        <v>31370.7</v>
      </c>
      <c r="F244" s="16">
        <v>0.04</v>
      </c>
      <c r="G244" s="75">
        <v>3.5790000000000002E-2</v>
      </c>
    </row>
    <row r="245" spans="1:7" x14ac:dyDescent="0.25">
      <c r="A245" s="76" t="s">
        <v>90</v>
      </c>
      <c r="B245" s="32"/>
      <c r="C245" s="32"/>
      <c r="D245" s="18"/>
      <c r="E245" s="35">
        <v>31370.7</v>
      </c>
      <c r="F245" s="36">
        <v>0.04</v>
      </c>
      <c r="G245" s="77"/>
    </row>
    <row r="246" spans="1:7" x14ac:dyDescent="0.25">
      <c r="A246" s="74"/>
      <c r="B246" s="31"/>
      <c r="C246" s="31"/>
      <c r="D246" s="14"/>
      <c r="E246" s="15"/>
      <c r="F246" s="16"/>
      <c r="G246" s="75"/>
    </row>
    <row r="247" spans="1:7" x14ac:dyDescent="0.25">
      <c r="A247" s="78" t="s">
        <v>93</v>
      </c>
      <c r="B247" s="79"/>
      <c r="C247" s="79"/>
      <c r="D247" s="80"/>
      <c r="E247" s="35">
        <v>31370.7</v>
      </c>
      <c r="F247" s="36">
        <v>0.04</v>
      </c>
      <c r="G247" s="77"/>
    </row>
    <row r="248" spans="1:7" x14ac:dyDescent="0.25">
      <c r="A248" s="74" t="s">
        <v>112</v>
      </c>
      <c r="B248" s="31"/>
      <c r="C248" s="31"/>
      <c r="D248" s="14"/>
      <c r="E248" s="15">
        <v>2160.6650558000001</v>
      </c>
      <c r="F248" s="16">
        <v>2.7550000000000001E-3</v>
      </c>
      <c r="G248" s="75"/>
    </row>
    <row r="249" spans="1:7" x14ac:dyDescent="0.25">
      <c r="A249" s="74" t="s">
        <v>113</v>
      </c>
      <c r="B249" s="31"/>
      <c r="C249" s="31"/>
      <c r="D249" s="14"/>
      <c r="E249" s="24">
        <v>-24113.405055800002</v>
      </c>
      <c r="F249" s="25">
        <v>-3.0155000000000001E-2</v>
      </c>
      <c r="G249" s="75">
        <v>3.5790000000000002E-2</v>
      </c>
    </row>
    <row r="250" spans="1:7" x14ac:dyDescent="0.25">
      <c r="A250" s="81" t="s">
        <v>114</v>
      </c>
      <c r="B250" s="34"/>
      <c r="C250" s="34"/>
      <c r="D250" s="27"/>
      <c r="E250" s="28">
        <v>784270.09</v>
      </c>
      <c r="F250" s="29">
        <v>1</v>
      </c>
      <c r="G250" s="82"/>
    </row>
    <row r="251" spans="1:7" x14ac:dyDescent="0.25">
      <c r="A251" s="54"/>
      <c r="B251" s="56"/>
      <c r="C251" s="56"/>
      <c r="D251" s="56"/>
      <c r="E251" s="56"/>
      <c r="F251" s="56"/>
      <c r="G251" s="66"/>
    </row>
    <row r="252" spans="1:7" x14ac:dyDescent="0.25">
      <c r="A252" s="83" t="s">
        <v>1016</v>
      </c>
      <c r="B252" s="56"/>
      <c r="C252" s="56"/>
      <c r="D252" s="56"/>
      <c r="E252" s="56"/>
      <c r="F252" s="56"/>
      <c r="G252" s="66"/>
    </row>
    <row r="253" spans="1:7" x14ac:dyDescent="0.25">
      <c r="A253" s="83" t="s">
        <v>115</v>
      </c>
      <c r="B253" s="56"/>
      <c r="C253" s="56"/>
      <c r="D253" s="56"/>
      <c r="E253" s="56"/>
      <c r="F253" s="56"/>
      <c r="G253" s="66"/>
    </row>
    <row r="254" spans="1:7" x14ac:dyDescent="0.25">
      <c r="A254" s="83" t="s">
        <v>116</v>
      </c>
      <c r="B254" s="56"/>
      <c r="C254" s="56"/>
      <c r="D254" s="56"/>
      <c r="E254" s="56"/>
      <c r="F254" s="56"/>
      <c r="G254" s="66"/>
    </row>
    <row r="255" spans="1:7" x14ac:dyDescent="0.25">
      <c r="A255" s="83" t="s">
        <v>2023</v>
      </c>
      <c r="B255" s="56"/>
      <c r="C255" s="56"/>
      <c r="D255" s="56"/>
      <c r="E255" s="56"/>
      <c r="F255" s="56"/>
      <c r="G255" s="66"/>
    </row>
    <row r="256" spans="1:7" x14ac:dyDescent="0.25">
      <c r="A256" s="83"/>
      <c r="B256" s="56"/>
      <c r="C256" s="56"/>
      <c r="D256" s="56"/>
      <c r="E256" s="56"/>
      <c r="F256" s="56"/>
      <c r="G256" s="66"/>
    </row>
    <row r="257" spans="1:10" x14ac:dyDescent="0.25">
      <c r="A257" s="83" t="s">
        <v>1476</v>
      </c>
      <c r="B257" s="56"/>
      <c r="C257" s="56"/>
      <c r="D257" s="56"/>
      <c r="E257" s="56"/>
      <c r="F257" s="56"/>
      <c r="G257" s="66"/>
    </row>
    <row r="258" spans="1:10" x14ac:dyDescent="0.25">
      <c r="A258" s="84" t="s">
        <v>1477</v>
      </c>
      <c r="B258" s="85" t="s">
        <v>85</v>
      </c>
      <c r="C258" s="56"/>
      <c r="D258" s="56"/>
      <c r="E258" s="56"/>
      <c r="F258" s="56"/>
      <c r="G258" s="66"/>
    </row>
    <row r="259" spans="1:10" x14ac:dyDescent="0.25">
      <c r="A259" s="54" t="s">
        <v>1626</v>
      </c>
      <c r="B259" s="56"/>
      <c r="C259" s="56"/>
      <c r="D259" s="56"/>
      <c r="E259" s="56"/>
      <c r="F259" s="56"/>
      <c r="G259" s="66"/>
    </row>
    <row r="260" spans="1:10" x14ac:dyDescent="0.25">
      <c r="A260" s="54" t="s">
        <v>1478</v>
      </c>
      <c r="B260" s="85" t="s">
        <v>1479</v>
      </c>
      <c r="C260" s="85" t="s">
        <v>1479</v>
      </c>
      <c r="D260" s="56"/>
      <c r="E260" s="56"/>
      <c r="F260" s="56"/>
      <c r="G260" s="66"/>
    </row>
    <row r="261" spans="1:10" x14ac:dyDescent="0.25">
      <c r="A261" s="54"/>
      <c r="B261" s="86">
        <v>44469</v>
      </c>
      <c r="C261" s="86">
        <v>44651</v>
      </c>
      <c r="D261" s="56"/>
      <c r="E261" s="56"/>
      <c r="F261" s="56"/>
      <c r="G261" s="66"/>
    </row>
    <row r="262" spans="1:10" x14ac:dyDescent="0.25">
      <c r="A262" s="54" t="s">
        <v>1530</v>
      </c>
      <c r="B262" s="56">
        <v>21.51</v>
      </c>
      <c r="C262" s="56">
        <v>21.07</v>
      </c>
      <c r="D262" s="56"/>
      <c r="E262" s="59"/>
      <c r="F262" s="56"/>
      <c r="G262" s="87"/>
      <c r="I262" s="56"/>
      <c r="J262" s="56"/>
    </row>
    <row r="263" spans="1:10" x14ac:dyDescent="0.25">
      <c r="A263" s="54" t="s">
        <v>1483</v>
      </c>
      <c r="B263" s="56">
        <v>38.81</v>
      </c>
      <c r="C263" s="56">
        <v>38.83</v>
      </c>
      <c r="D263" s="56"/>
      <c r="E263" s="59"/>
      <c r="F263" s="56"/>
      <c r="G263" s="87"/>
      <c r="I263" s="56"/>
      <c r="J263" s="56"/>
    </row>
    <row r="264" spans="1:10" x14ac:dyDescent="0.25">
      <c r="A264" s="54" t="s">
        <v>1500</v>
      </c>
      <c r="B264" s="102">
        <v>24.1</v>
      </c>
      <c r="C264" s="102">
        <v>23.3</v>
      </c>
      <c r="D264" s="56"/>
      <c r="E264" s="59"/>
      <c r="F264" s="56"/>
      <c r="G264" s="87"/>
      <c r="I264" s="56"/>
      <c r="J264" s="56"/>
    </row>
    <row r="265" spans="1:10" x14ac:dyDescent="0.25">
      <c r="A265" s="54" t="s">
        <v>1531</v>
      </c>
      <c r="B265" s="56">
        <v>17.32</v>
      </c>
      <c r="C265" s="56">
        <v>16.760000000000002</v>
      </c>
      <c r="D265" s="56"/>
      <c r="E265" s="59"/>
      <c r="F265" s="56"/>
      <c r="G265" s="87"/>
      <c r="I265" s="56"/>
      <c r="J265" s="56"/>
    </row>
    <row r="266" spans="1:10" x14ac:dyDescent="0.25">
      <c r="A266" s="54" t="s">
        <v>1503</v>
      </c>
      <c r="B266" s="56">
        <v>35.79</v>
      </c>
      <c r="C266" s="56">
        <v>35.56</v>
      </c>
      <c r="D266" s="56"/>
      <c r="E266" s="59"/>
      <c r="F266" s="56"/>
      <c r="G266" s="87"/>
      <c r="I266" s="56"/>
      <c r="J266" s="56"/>
    </row>
    <row r="267" spans="1:10" x14ac:dyDescent="0.25">
      <c r="A267" s="54" t="s">
        <v>1505</v>
      </c>
      <c r="B267" s="56">
        <v>21.57</v>
      </c>
      <c r="C267" s="56">
        <v>20.62</v>
      </c>
      <c r="D267" s="56"/>
      <c r="E267" s="59"/>
      <c r="F267" s="56"/>
      <c r="G267" s="87"/>
      <c r="I267" s="56"/>
      <c r="J267" s="56"/>
    </row>
    <row r="268" spans="1:10" x14ac:dyDescent="0.25">
      <c r="A268" s="54"/>
      <c r="B268" s="56"/>
      <c r="C268" s="56"/>
      <c r="D268" s="56"/>
      <c r="E268" s="59"/>
      <c r="F268" s="56"/>
      <c r="G268" s="87"/>
    </row>
    <row r="269" spans="1:10" x14ac:dyDescent="0.25">
      <c r="A269" s="54" t="s">
        <v>2007</v>
      </c>
      <c r="B269" s="56"/>
      <c r="C269" s="56"/>
      <c r="D269" s="56"/>
      <c r="E269" s="56"/>
      <c r="F269" s="56"/>
      <c r="G269" s="66"/>
    </row>
    <row r="270" spans="1:10" x14ac:dyDescent="0.25">
      <c r="A270" s="54"/>
      <c r="B270" s="56"/>
      <c r="C270" s="56"/>
      <c r="D270" s="56"/>
      <c r="E270" s="56"/>
      <c r="F270" s="56"/>
      <c r="G270" s="66"/>
    </row>
    <row r="271" spans="1:10" x14ac:dyDescent="0.25">
      <c r="A271" s="93" t="s">
        <v>1507</v>
      </c>
      <c r="B271" s="94" t="s">
        <v>1508</v>
      </c>
      <c r="C271" s="95" t="s">
        <v>2018</v>
      </c>
      <c r="D271" s="95" t="s">
        <v>2019</v>
      </c>
      <c r="E271" s="56"/>
      <c r="F271" s="56"/>
      <c r="G271" s="66"/>
    </row>
    <row r="272" spans="1:10" x14ac:dyDescent="0.25">
      <c r="A272" s="96" t="s">
        <v>1532</v>
      </c>
      <c r="B272" s="97"/>
      <c r="C272" s="97">
        <v>0.45</v>
      </c>
      <c r="D272" s="97">
        <v>0.45</v>
      </c>
      <c r="E272" s="56"/>
      <c r="F272" s="56"/>
      <c r="G272" s="66"/>
    </row>
    <row r="273" spans="1:7" x14ac:dyDescent="0.25">
      <c r="A273" s="96" t="s">
        <v>1533</v>
      </c>
      <c r="B273" s="97"/>
      <c r="C273" s="97">
        <v>0.81</v>
      </c>
      <c r="D273" s="97">
        <v>0.81</v>
      </c>
      <c r="E273" s="56"/>
      <c r="F273" s="56"/>
      <c r="G273" s="66"/>
    </row>
    <row r="274" spans="1:7" x14ac:dyDescent="0.25">
      <c r="A274" s="96" t="s">
        <v>1534</v>
      </c>
      <c r="B274" s="97"/>
      <c r="C274" s="97">
        <v>0.45</v>
      </c>
      <c r="D274" s="97">
        <v>0.45</v>
      </c>
      <c r="E274" s="56"/>
      <c r="F274" s="56"/>
      <c r="G274" s="66"/>
    </row>
    <row r="275" spans="1:7" x14ac:dyDescent="0.25">
      <c r="A275" s="96" t="s">
        <v>1535</v>
      </c>
      <c r="B275" s="97"/>
      <c r="C275" s="97">
        <v>0.81</v>
      </c>
      <c r="D275" s="97">
        <v>0.81</v>
      </c>
      <c r="E275" s="56"/>
      <c r="F275" s="56"/>
      <c r="G275" s="66"/>
    </row>
    <row r="276" spans="1:7" x14ac:dyDescent="0.25">
      <c r="A276" s="54"/>
      <c r="B276" s="56"/>
      <c r="C276" s="56"/>
      <c r="D276" s="56"/>
      <c r="E276" s="56"/>
      <c r="F276" s="56"/>
      <c r="G276" s="66"/>
    </row>
    <row r="277" spans="1:7" x14ac:dyDescent="0.25">
      <c r="A277" s="54" t="s">
        <v>2008</v>
      </c>
      <c r="B277" s="85" t="s">
        <v>85</v>
      </c>
      <c r="C277" s="56"/>
      <c r="D277" s="56"/>
      <c r="E277" s="56"/>
      <c r="F277" s="56"/>
      <c r="G277" s="66"/>
    </row>
    <row r="278" spans="1:7" ht="18.75" customHeight="1" x14ac:dyDescent="0.25">
      <c r="A278" s="84" t="s">
        <v>2009</v>
      </c>
      <c r="B278" s="85" t="s">
        <v>85</v>
      </c>
      <c r="C278" s="56"/>
      <c r="D278" s="56"/>
      <c r="E278" s="56"/>
      <c r="F278" s="56"/>
      <c r="G278" s="66"/>
    </row>
    <row r="279" spans="1:7" x14ac:dyDescent="0.25">
      <c r="A279" s="84" t="s">
        <v>2010</v>
      </c>
      <c r="B279" s="85" t="s">
        <v>85</v>
      </c>
      <c r="C279" s="56"/>
      <c r="D279" s="56"/>
      <c r="E279" s="56"/>
      <c r="F279" s="56"/>
      <c r="G279" s="66"/>
    </row>
    <row r="280" spans="1:7" x14ac:dyDescent="0.25">
      <c r="A280" s="54" t="s">
        <v>1529</v>
      </c>
      <c r="B280" s="88">
        <v>3.3903159999999999</v>
      </c>
      <c r="C280" s="56"/>
      <c r="D280" s="56"/>
      <c r="E280" s="56"/>
      <c r="F280" s="56"/>
      <c r="G280" s="66"/>
    </row>
    <row r="281" spans="1:7" ht="30" x14ac:dyDescent="0.25">
      <c r="A281" s="84" t="s">
        <v>2011</v>
      </c>
      <c r="B281" s="88">
        <v>42130.181375</v>
      </c>
      <c r="C281" s="56"/>
      <c r="D281" s="56"/>
      <c r="E281" s="56"/>
      <c r="F281" s="56"/>
      <c r="G281" s="66"/>
    </row>
    <row r="282" spans="1:7" ht="30" x14ac:dyDescent="0.25">
      <c r="A282" s="84" t="s">
        <v>1495</v>
      </c>
      <c r="B282" s="85" t="s">
        <v>85</v>
      </c>
      <c r="C282" s="56"/>
      <c r="D282" s="56"/>
      <c r="E282" s="56"/>
      <c r="F282" s="56"/>
      <c r="G282" s="66"/>
    </row>
    <row r="283" spans="1:7" x14ac:dyDescent="0.25">
      <c r="A283" s="54" t="s">
        <v>1607</v>
      </c>
      <c r="B283" s="85" t="s">
        <v>85</v>
      </c>
      <c r="C283" s="56"/>
      <c r="D283" s="56"/>
      <c r="E283" s="56"/>
      <c r="F283" s="56"/>
      <c r="G283" s="66"/>
    </row>
    <row r="284" spans="1:7" x14ac:dyDescent="0.25">
      <c r="A284" s="54" t="s">
        <v>1608</v>
      </c>
      <c r="B284" s="85" t="s">
        <v>85</v>
      </c>
      <c r="C284" s="56"/>
      <c r="D284" s="56"/>
      <c r="E284" s="56"/>
      <c r="F284" s="56"/>
      <c r="G284" s="66"/>
    </row>
    <row r="285" spans="1:7" x14ac:dyDescent="0.25">
      <c r="A285" s="54"/>
      <c r="B285" s="56"/>
      <c r="C285" s="56"/>
      <c r="D285" s="56"/>
      <c r="E285" s="56"/>
      <c r="F285" s="56"/>
      <c r="G285" s="66"/>
    </row>
    <row r="286" spans="1:7" ht="15.75" thickBot="1" x14ac:dyDescent="0.3">
      <c r="A286" s="89"/>
      <c r="B286" s="90"/>
      <c r="C286" s="90"/>
      <c r="D286" s="90"/>
      <c r="E286" s="90"/>
      <c r="F286" s="90"/>
      <c r="G286" s="91"/>
    </row>
    <row r="289" spans="1:4" ht="30" x14ac:dyDescent="0.25">
      <c r="A289" s="107" t="s">
        <v>2042</v>
      </c>
      <c r="B289" s="108" t="s">
        <v>2043</v>
      </c>
      <c r="C289" s="108" t="s">
        <v>2044</v>
      </c>
      <c r="D289" s="109" t="s">
        <v>2045</v>
      </c>
    </row>
    <row r="290" spans="1:4" ht="54.75" customHeight="1" x14ac:dyDescent="0.25">
      <c r="A290" s="110" t="str">
        <f>HYPERLINK("[EDEL_Portfolio Monthly 31-Mar-2022.xlsx]EEARFD!A1","Edelweiss Balanced Advantage Fund")</f>
        <v>Edelweiss Balanced Advantage Fund</v>
      </c>
      <c r="B290" s="111"/>
      <c r="C290" s="112" t="s">
        <v>2060</v>
      </c>
      <c r="D290" s="111"/>
    </row>
  </sheetData>
  <mergeCells count="2">
    <mergeCell ref="A3:G3"/>
    <mergeCell ref="A4:G4"/>
  </mergeCells>
  <pageMargins left="0.7" right="0.7" top="0.75" bottom="0.75" header="0.3" footer="0.3"/>
  <pageSetup orientation="portrait" horizontalDpi="300" verticalDpi="3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51"/>
  <sheetViews>
    <sheetView showGridLines="0" workbookViewId="0">
      <pane ySplit="6" topLeftCell="A1048562"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9" x14ac:dyDescent="0.25">
      <c r="A1" s="50" t="s">
        <v>1613</v>
      </c>
    </row>
    <row r="2" spans="1:9" ht="30.75" thickBot="1" x14ac:dyDescent="0.3">
      <c r="A2" s="65" t="s">
        <v>2083</v>
      </c>
      <c r="I2" s="56"/>
    </row>
    <row r="3" spans="1:9" ht="36.75" customHeight="1" x14ac:dyDescent="0.25">
      <c r="A3" s="138" t="s">
        <v>42</v>
      </c>
      <c r="B3" s="139"/>
      <c r="C3" s="139"/>
      <c r="D3" s="139"/>
      <c r="E3" s="139"/>
      <c r="F3" s="139"/>
      <c r="G3" s="140"/>
      <c r="H3" s="46" t="str">
        <f>HYPERLINK("[EDEL_Portfolio HY 31032022.xlsx]Index!A1","Index")</f>
        <v>Index</v>
      </c>
      <c r="I3" s="56"/>
    </row>
    <row r="4" spans="1:9" ht="19.5" customHeight="1" x14ac:dyDescent="0.25">
      <c r="A4" s="141" t="s">
        <v>43</v>
      </c>
      <c r="B4" s="142"/>
      <c r="C4" s="142"/>
      <c r="D4" s="142"/>
      <c r="E4" s="142"/>
      <c r="F4" s="142"/>
      <c r="G4" s="143"/>
      <c r="I4" s="56"/>
    </row>
    <row r="5" spans="1:9" x14ac:dyDescent="0.25">
      <c r="A5" s="54"/>
      <c r="B5" s="56"/>
      <c r="C5" s="56"/>
      <c r="D5" s="56"/>
      <c r="E5" s="56"/>
      <c r="F5" s="56"/>
      <c r="G5" s="66"/>
      <c r="I5" s="56"/>
    </row>
    <row r="6" spans="1:9" ht="48" customHeight="1" x14ac:dyDescent="0.25">
      <c r="A6" s="67" t="s">
        <v>0</v>
      </c>
      <c r="B6" s="68" t="s">
        <v>1</v>
      </c>
      <c r="C6" s="68" t="s">
        <v>5</v>
      </c>
      <c r="D6" s="69" t="s">
        <v>2</v>
      </c>
      <c r="E6" s="70" t="s">
        <v>4</v>
      </c>
      <c r="F6" s="70" t="s">
        <v>3</v>
      </c>
      <c r="G6" s="71" t="s">
        <v>6</v>
      </c>
      <c r="I6" s="56"/>
    </row>
    <row r="7" spans="1:9" x14ac:dyDescent="0.25">
      <c r="A7" s="72"/>
      <c r="B7" s="30"/>
      <c r="C7" s="30"/>
      <c r="D7" s="9"/>
      <c r="E7" s="10"/>
      <c r="F7" s="11"/>
      <c r="G7" s="73"/>
      <c r="I7" s="56"/>
    </row>
    <row r="8" spans="1:9" x14ac:dyDescent="0.25">
      <c r="A8" s="76" t="s">
        <v>84</v>
      </c>
      <c r="B8" s="31"/>
      <c r="C8" s="31"/>
      <c r="D8" s="14"/>
      <c r="E8" s="15"/>
      <c r="F8" s="16"/>
      <c r="G8" s="75"/>
      <c r="I8" s="56"/>
    </row>
    <row r="9" spans="1:9" x14ac:dyDescent="0.25">
      <c r="A9" s="76" t="s">
        <v>435</v>
      </c>
      <c r="B9" s="31"/>
      <c r="C9" s="31"/>
      <c r="D9" s="14"/>
      <c r="E9" s="15"/>
      <c r="F9" s="16"/>
      <c r="G9" s="75"/>
      <c r="I9" s="56"/>
    </row>
    <row r="10" spans="1:9" x14ac:dyDescent="0.25">
      <c r="A10" s="74" t="s">
        <v>622</v>
      </c>
      <c r="B10" s="31" t="s">
        <v>623</v>
      </c>
      <c r="C10" s="31" t="s">
        <v>465</v>
      </c>
      <c r="D10" s="14">
        <v>331266</v>
      </c>
      <c r="E10" s="15">
        <v>2419.2399999999998</v>
      </c>
      <c r="F10" s="16">
        <v>7.3999999999999996E-2</v>
      </c>
      <c r="G10" s="75"/>
      <c r="I10" s="56"/>
    </row>
    <row r="11" spans="1:9" x14ac:dyDescent="0.25">
      <c r="A11" s="74" t="s">
        <v>438</v>
      </c>
      <c r="B11" s="31" t="s">
        <v>439</v>
      </c>
      <c r="C11" s="31" t="s">
        <v>440</v>
      </c>
      <c r="D11" s="14">
        <v>89804</v>
      </c>
      <c r="E11" s="15">
        <v>2366.11</v>
      </c>
      <c r="F11" s="16">
        <v>7.2400000000000006E-2</v>
      </c>
      <c r="G11" s="75"/>
      <c r="I11" s="56"/>
    </row>
    <row r="12" spans="1:9" x14ac:dyDescent="0.25">
      <c r="A12" s="74" t="s">
        <v>472</v>
      </c>
      <c r="B12" s="31" t="s">
        <v>473</v>
      </c>
      <c r="C12" s="31" t="s">
        <v>2027</v>
      </c>
      <c r="D12" s="14">
        <v>105508</v>
      </c>
      <c r="E12" s="15">
        <v>2011.88</v>
      </c>
      <c r="F12" s="16">
        <v>6.1600000000000002E-2</v>
      </c>
      <c r="G12" s="75"/>
      <c r="I12" s="56"/>
    </row>
    <row r="13" spans="1:9" x14ac:dyDescent="0.25">
      <c r="A13" s="74" t="s">
        <v>441</v>
      </c>
      <c r="B13" s="31" t="s">
        <v>442</v>
      </c>
      <c r="C13" s="31" t="s">
        <v>443</v>
      </c>
      <c r="D13" s="14">
        <v>221154</v>
      </c>
      <c r="E13" s="15">
        <v>1669.6</v>
      </c>
      <c r="F13" s="16">
        <v>5.11E-2</v>
      </c>
      <c r="G13" s="75"/>
      <c r="I13" s="56"/>
    </row>
    <row r="14" spans="1:9" x14ac:dyDescent="0.25">
      <c r="A14" s="74" t="s">
        <v>481</v>
      </c>
      <c r="B14" s="31" t="s">
        <v>482</v>
      </c>
      <c r="C14" s="31" t="s">
        <v>465</v>
      </c>
      <c r="D14" s="14">
        <v>180798</v>
      </c>
      <c r="E14" s="15">
        <v>1376.14</v>
      </c>
      <c r="F14" s="16">
        <v>4.2099999999999999E-2</v>
      </c>
      <c r="G14" s="75"/>
      <c r="I14" s="56"/>
    </row>
    <row r="15" spans="1:9" x14ac:dyDescent="0.25">
      <c r="A15" s="74" t="s">
        <v>492</v>
      </c>
      <c r="B15" s="31" t="s">
        <v>493</v>
      </c>
      <c r="C15" s="31" t="s">
        <v>2029</v>
      </c>
      <c r="D15" s="14">
        <v>76354</v>
      </c>
      <c r="E15" s="15">
        <v>1349.67</v>
      </c>
      <c r="F15" s="16">
        <v>4.1300000000000003E-2</v>
      </c>
      <c r="G15" s="75"/>
      <c r="I15" s="56"/>
    </row>
    <row r="16" spans="1:9" x14ac:dyDescent="0.25">
      <c r="A16" s="74" t="s">
        <v>537</v>
      </c>
      <c r="B16" s="31" t="s">
        <v>538</v>
      </c>
      <c r="C16" s="31" t="s">
        <v>465</v>
      </c>
      <c r="D16" s="14">
        <v>264678</v>
      </c>
      <c r="E16" s="15">
        <v>1306.32</v>
      </c>
      <c r="F16" s="16">
        <v>0.04</v>
      </c>
      <c r="G16" s="75"/>
      <c r="I16" s="56"/>
    </row>
    <row r="17" spans="1:9" x14ac:dyDescent="0.25">
      <c r="A17" s="74" t="s">
        <v>549</v>
      </c>
      <c r="B17" s="31" t="s">
        <v>550</v>
      </c>
      <c r="C17" s="31" t="s">
        <v>465</v>
      </c>
      <c r="D17" s="14">
        <v>72313</v>
      </c>
      <c r="E17" s="15">
        <v>1063.25</v>
      </c>
      <c r="F17" s="16">
        <v>3.2500000000000001E-2</v>
      </c>
      <c r="G17" s="75"/>
      <c r="I17" s="56"/>
    </row>
    <row r="18" spans="1:9" x14ac:dyDescent="0.25">
      <c r="A18" s="74" t="s">
        <v>584</v>
      </c>
      <c r="B18" s="31" t="s">
        <v>585</v>
      </c>
      <c r="C18" s="31" t="s">
        <v>2027</v>
      </c>
      <c r="D18" s="14">
        <v>24332</v>
      </c>
      <c r="E18" s="15">
        <v>910</v>
      </c>
      <c r="F18" s="16">
        <v>2.7799999999999998E-2</v>
      </c>
      <c r="G18" s="75"/>
      <c r="I18" s="56"/>
    </row>
    <row r="19" spans="1:9" x14ac:dyDescent="0.25">
      <c r="A19" s="74" t="s">
        <v>504</v>
      </c>
      <c r="B19" s="31" t="s">
        <v>505</v>
      </c>
      <c r="C19" s="31" t="s">
        <v>2028</v>
      </c>
      <c r="D19" s="14">
        <v>286360</v>
      </c>
      <c r="E19" s="15">
        <v>717.76</v>
      </c>
      <c r="F19" s="16">
        <v>2.1999999999999999E-2</v>
      </c>
      <c r="G19" s="75"/>
      <c r="I19" s="56"/>
    </row>
    <row r="20" spans="1:9" x14ac:dyDescent="0.25">
      <c r="A20" s="74" t="s">
        <v>510</v>
      </c>
      <c r="B20" s="31" t="s">
        <v>511</v>
      </c>
      <c r="C20" s="31" t="s">
        <v>2027</v>
      </c>
      <c r="D20" s="14">
        <v>59882</v>
      </c>
      <c r="E20" s="15">
        <v>696.88</v>
      </c>
      <c r="F20" s="16">
        <v>2.1299999999999999E-2</v>
      </c>
      <c r="G20" s="75"/>
      <c r="I20" s="56"/>
    </row>
    <row r="21" spans="1:9" x14ac:dyDescent="0.25">
      <c r="A21" s="74" t="s">
        <v>463</v>
      </c>
      <c r="B21" s="31" t="s">
        <v>464</v>
      </c>
      <c r="C21" s="31" t="s">
        <v>465</v>
      </c>
      <c r="D21" s="14">
        <v>38115</v>
      </c>
      <c r="E21" s="15">
        <v>668.48</v>
      </c>
      <c r="F21" s="16">
        <v>2.0500000000000001E-2</v>
      </c>
      <c r="G21" s="75"/>
      <c r="I21" s="56"/>
    </row>
    <row r="22" spans="1:9" x14ac:dyDescent="0.25">
      <c r="A22" s="74" t="s">
        <v>653</v>
      </c>
      <c r="B22" s="31" t="s">
        <v>654</v>
      </c>
      <c r="C22" s="31" t="s">
        <v>2027</v>
      </c>
      <c r="D22" s="14">
        <v>39139</v>
      </c>
      <c r="E22" s="15">
        <v>586.87</v>
      </c>
      <c r="F22" s="16">
        <v>1.7999999999999999E-2</v>
      </c>
      <c r="G22" s="75"/>
      <c r="I22" s="56"/>
    </row>
    <row r="23" spans="1:9" x14ac:dyDescent="0.25">
      <c r="A23" s="74" t="s">
        <v>724</v>
      </c>
      <c r="B23" s="31" t="s">
        <v>725</v>
      </c>
      <c r="C23" s="31" t="s">
        <v>1429</v>
      </c>
      <c r="D23" s="14">
        <v>53638</v>
      </c>
      <c r="E23" s="15">
        <v>490.65</v>
      </c>
      <c r="F23" s="16">
        <v>1.4999999999999999E-2</v>
      </c>
      <c r="G23" s="75"/>
      <c r="I23" s="56"/>
    </row>
    <row r="24" spans="1:9" x14ac:dyDescent="0.25">
      <c r="A24" s="74" t="s">
        <v>490</v>
      </c>
      <c r="B24" s="31" t="s">
        <v>491</v>
      </c>
      <c r="C24" s="31" t="s">
        <v>450</v>
      </c>
      <c r="D24" s="14">
        <v>6406</v>
      </c>
      <c r="E24" s="15">
        <v>465.07</v>
      </c>
      <c r="F24" s="16">
        <v>1.4200000000000001E-2</v>
      </c>
      <c r="G24" s="75"/>
      <c r="I24" s="56"/>
    </row>
    <row r="25" spans="1:9" x14ac:dyDescent="0.25">
      <c r="A25" s="74" t="s">
        <v>657</v>
      </c>
      <c r="B25" s="31" t="s">
        <v>658</v>
      </c>
      <c r="C25" s="31" t="s">
        <v>480</v>
      </c>
      <c r="D25" s="14">
        <v>6674</v>
      </c>
      <c r="E25" s="15">
        <v>440.64</v>
      </c>
      <c r="F25" s="16">
        <v>1.35E-2</v>
      </c>
      <c r="G25" s="75"/>
      <c r="I25" s="56"/>
    </row>
    <row r="26" spans="1:9" x14ac:dyDescent="0.25">
      <c r="A26" s="74" t="s">
        <v>582</v>
      </c>
      <c r="B26" s="31" t="s">
        <v>583</v>
      </c>
      <c r="C26" s="31" t="s">
        <v>2032</v>
      </c>
      <c r="D26" s="14">
        <v>5790</v>
      </c>
      <c r="E26" s="15">
        <v>437.8</v>
      </c>
      <c r="F26" s="16">
        <v>1.34E-2</v>
      </c>
      <c r="G26" s="75"/>
      <c r="I26" s="56"/>
    </row>
    <row r="27" spans="1:9" x14ac:dyDescent="0.25">
      <c r="A27" s="74" t="s">
        <v>716</v>
      </c>
      <c r="B27" s="31" t="s">
        <v>717</v>
      </c>
      <c r="C27" s="31" t="s">
        <v>615</v>
      </c>
      <c r="D27" s="14">
        <v>16203</v>
      </c>
      <c r="E27" s="15">
        <v>410.93</v>
      </c>
      <c r="F27" s="16">
        <v>1.26E-2</v>
      </c>
      <c r="G27" s="75"/>
      <c r="I27" s="56"/>
    </row>
    <row r="28" spans="1:9" x14ac:dyDescent="0.25">
      <c r="A28" s="74" t="s">
        <v>470</v>
      </c>
      <c r="B28" s="31" t="s">
        <v>471</v>
      </c>
      <c r="C28" s="31" t="s">
        <v>456</v>
      </c>
      <c r="D28" s="14">
        <v>29135</v>
      </c>
      <c r="E28" s="15">
        <v>380.85</v>
      </c>
      <c r="F28" s="16">
        <v>1.17E-2</v>
      </c>
      <c r="G28" s="75"/>
      <c r="I28" s="56"/>
    </row>
    <row r="29" spans="1:9" x14ac:dyDescent="0.25">
      <c r="A29" s="74" t="s">
        <v>483</v>
      </c>
      <c r="B29" s="31" t="s">
        <v>484</v>
      </c>
      <c r="C29" s="31" t="s">
        <v>2028</v>
      </c>
      <c r="D29" s="14">
        <v>18276</v>
      </c>
      <c r="E29" s="15">
        <v>374.41</v>
      </c>
      <c r="F29" s="16">
        <v>1.15E-2</v>
      </c>
      <c r="G29" s="75"/>
      <c r="I29" s="56"/>
    </row>
    <row r="30" spans="1:9" x14ac:dyDescent="0.25">
      <c r="A30" s="74" t="s">
        <v>1067</v>
      </c>
      <c r="B30" s="31" t="s">
        <v>1068</v>
      </c>
      <c r="C30" s="31" t="s">
        <v>450</v>
      </c>
      <c r="D30" s="14">
        <v>60000</v>
      </c>
      <c r="E30" s="15">
        <v>313.17</v>
      </c>
      <c r="F30" s="16">
        <v>9.5999999999999992E-3</v>
      </c>
      <c r="G30" s="75"/>
      <c r="I30" s="56"/>
    </row>
    <row r="31" spans="1:9" x14ac:dyDescent="0.25">
      <c r="A31" s="74" t="s">
        <v>629</v>
      </c>
      <c r="B31" s="31" t="s">
        <v>630</v>
      </c>
      <c r="C31" s="31" t="s">
        <v>459</v>
      </c>
      <c r="D31" s="14">
        <v>231930</v>
      </c>
      <c r="E31" s="15">
        <v>313.11</v>
      </c>
      <c r="F31" s="16">
        <v>9.5999999999999992E-3</v>
      </c>
      <c r="G31" s="75"/>
      <c r="I31" s="56"/>
    </row>
    <row r="32" spans="1:9" x14ac:dyDescent="0.25">
      <c r="A32" s="74" t="s">
        <v>1019</v>
      </c>
      <c r="B32" s="31" t="s">
        <v>1020</v>
      </c>
      <c r="C32" s="31" t="s">
        <v>1429</v>
      </c>
      <c r="D32" s="14">
        <v>9327</v>
      </c>
      <c r="E32" s="15">
        <v>305.24</v>
      </c>
      <c r="F32" s="16">
        <v>9.2999999999999992E-3</v>
      </c>
      <c r="G32" s="75"/>
      <c r="I32" s="56"/>
    </row>
    <row r="33" spans="1:9" x14ac:dyDescent="0.25">
      <c r="A33" s="74" t="s">
        <v>639</v>
      </c>
      <c r="B33" s="31" t="s">
        <v>640</v>
      </c>
      <c r="C33" s="31" t="s">
        <v>608</v>
      </c>
      <c r="D33" s="14">
        <v>116132</v>
      </c>
      <c r="E33" s="15">
        <v>276.97000000000003</v>
      </c>
      <c r="F33" s="16">
        <v>8.5000000000000006E-3</v>
      </c>
      <c r="G33" s="75"/>
      <c r="I33" s="56"/>
    </row>
    <row r="34" spans="1:9" x14ac:dyDescent="0.25">
      <c r="A34" s="74" t="s">
        <v>561</v>
      </c>
      <c r="B34" s="31" t="s">
        <v>562</v>
      </c>
      <c r="C34" s="31" t="s">
        <v>487</v>
      </c>
      <c r="D34" s="14">
        <v>24573</v>
      </c>
      <c r="E34" s="15">
        <v>275.57</v>
      </c>
      <c r="F34" s="16">
        <v>8.3999999999999995E-3</v>
      </c>
      <c r="G34" s="75"/>
      <c r="I34" s="56"/>
    </row>
    <row r="35" spans="1:9" x14ac:dyDescent="0.25">
      <c r="A35" s="74" t="s">
        <v>553</v>
      </c>
      <c r="B35" s="31" t="s">
        <v>554</v>
      </c>
      <c r="C35" s="31" t="s">
        <v>1429</v>
      </c>
      <c r="D35" s="14">
        <v>22889</v>
      </c>
      <c r="E35" s="15">
        <v>233.02</v>
      </c>
      <c r="F35" s="16">
        <v>7.1000000000000004E-3</v>
      </c>
      <c r="G35" s="75"/>
      <c r="I35" s="56"/>
    </row>
    <row r="36" spans="1:9" x14ac:dyDescent="0.25">
      <c r="A36" s="74" t="s">
        <v>631</v>
      </c>
      <c r="B36" s="31" t="s">
        <v>632</v>
      </c>
      <c r="C36" s="31" t="s">
        <v>2027</v>
      </c>
      <c r="D36" s="14">
        <v>6711</v>
      </c>
      <c r="E36" s="15">
        <v>226.62</v>
      </c>
      <c r="F36" s="16">
        <v>6.8999999999999999E-3</v>
      </c>
      <c r="G36" s="75"/>
      <c r="I36" s="56"/>
    </row>
    <row r="37" spans="1:9" x14ac:dyDescent="0.25">
      <c r="A37" s="74" t="s">
        <v>627</v>
      </c>
      <c r="B37" s="31" t="s">
        <v>628</v>
      </c>
      <c r="C37" s="31" t="s">
        <v>440</v>
      </c>
      <c r="D37" s="14">
        <v>61559</v>
      </c>
      <c r="E37" s="15">
        <v>221.21</v>
      </c>
      <c r="F37" s="16">
        <v>6.7999999999999996E-3</v>
      </c>
      <c r="G37" s="75"/>
      <c r="I37" s="56"/>
    </row>
    <row r="38" spans="1:9" x14ac:dyDescent="0.25">
      <c r="A38" s="74" t="s">
        <v>737</v>
      </c>
      <c r="B38" s="31" t="s">
        <v>738</v>
      </c>
      <c r="C38" s="31" t="s">
        <v>2027</v>
      </c>
      <c r="D38" s="14">
        <v>4599</v>
      </c>
      <c r="E38" s="15">
        <v>219.16</v>
      </c>
      <c r="F38" s="16">
        <v>6.7000000000000002E-3</v>
      </c>
      <c r="G38" s="75"/>
      <c r="I38" s="56"/>
    </row>
    <row r="39" spans="1:9" x14ac:dyDescent="0.25">
      <c r="A39" s="74" t="s">
        <v>454</v>
      </c>
      <c r="B39" s="31" t="s">
        <v>455</v>
      </c>
      <c r="C39" s="31" t="s">
        <v>456</v>
      </c>
      <c r="D39" s="14">
        <v>217069</v>
      </c>
      <c r="E39" s="15">
        <v>213.92</v>
      </c>
      <c r="F39" s="16">
        <v>6.4999999999999997E-3</v>
      </c>
      <c r="G39" s="75"/>
      <c r="I39" s="56"/>
    </row>
    <row r="40" spans="1:9" x14ac:dyDescent="0.25">
      <c r="A40" s="74" t="s">
        <v>745</v>
      </c>
      <c r="B40" s="31" t="s">
        <v>746</v>
      </c>
      <c r="C40" s="31" t="s">
        <v>615</v>
      </c>
      <c r="D40" s="14">
        <v>53413</v>
      </c>
      <c r="E40" s="15">
        <v>199.76</v>
      </c>
      <c r="F40" s="16">
        <v>6.1000000000000004E-3</v>
      </c>
      <c r="G40" s="75"/>
      <c r="I40" s="56"/>
    </row>
    <row r="41" spans="1:9" x14ac:dyDescent="0.25">
      <c r="A41" s="74" t="s">
        <v>565</v>
      </c>
      <c r="B41" s="31" t="s">
        <v>566</v>
      </c>
      <c r="C41" s="31" t="s">
        <v>2028</v>
      </c>
      <c r="D41" s="14">
        <v>26565</v>
      </c>
      <c r="E41" s="15">
        <v>198.52</v>
      </c>
      <c r="F41" s="16">
        <v>6.1000000000000004E-3</v>
      </c>
      <c r="G41" s="75"/>
      <c r="I41" s="56"/>
    </row>
    <row r="42" spans="1:9" x14ac:dyDescent="0.25">
      <c r="A42" s="74" t="s">
        <v>545</v>
      </c>
      <c r="B42" s="31" t="s">
        <v>546</v>
      </c>
      <c r="C42" s="31" t="s">
        <v>480</v>
      </c>
      <c r="D42" s="14">
        <v>66141</v>
      </c>
      <c r="E42" s="15">
        <v>197.93</v>
      </c>
      <c r="F42" s="16">
        <v>6.1000000000000004E-3</v>
      </c>
      <c r="G42" s="75"/>
      <c r="I42" s="56"/>
    </row>
    <row r="43" spans="1:9" x14ac:dyDescent="0.25">
      <c r="A43" s="74" t="s">
        <v>1021</v>
      </c>
      <c r="B43" s="31" t="s">
        <v>1022</v>
      </c>
      <c r="C43" s="31" t="s">
        <v>2027</v>
      </c>
      <c r="D43" s="14">
        <v>2215</v>
      </c>
      <c r="E43" s="15">
        <v>195.81</v>
      </c>
      <c r="F43" s="16">
        <v>6.0000000000000001E-3</v>
      </c>
      <c r="G43" s="75"/>
      <c r="I43" s="56"/>
    </row>
    <row r="44" spans="1:9" x14ac:dyDescent="0.25">
      <c r="A44" s="74" t="s">
        <v>527</v>
      </c>
      <c r="B44" s="31" t="s">
        <v>528</v>
      </c>
      <c r="C44" s="31" t="s">
        <v>2030</v>
      </c>
      <c r="D44" s="14">
        <v>7280</v>
      </c>
      <c r="E44" s="15">
        <v>195.06</v>
      </c>
      <c r="F44" s="16">
        <v>6.0000000000000001E-3</v>
      </c>
      <c r="G44" s="75"/>
      <c r="I44" s="56"/>
    </row>
    <row r="45" spans="1:9" x14ac:dyDescent="0.25">
      <c r="A45" s="74" t="s">
        <v>535</v>
      </c>
      <c r="B45" s="31" t="s">
        <v>536</v>
      </c>
      <c r="C45" s="31" t="s">
        <v>2028</v>
      </c>
      <c r="D45" s="14">
        <v>19952</v>
      </c>
      <c r="E45" s="15">
        <v>177.24</v>
      </c>
      <c r="F45" s="16">
        <v>5.4000000000000003E-3</v>
      </c>
      <c r="G45" s="75"/>
      <c r="I45" s="56"/>
    </row>
    <row r="46" spans="1:9" x14ac:dyDescent="0.25">
      <c r="A46" s="74" t="s">
        <v>529</v>
      </c>
      <c r="B46" s="31" t="s">
        <v>530</v>
      </c>
      <c r="C46" s="31" t="s">
        <v>2031</v>
      </c>
      <c r="D46" s="14">
        <v>6198</v>
      </c>
      <c r="E46" s="15">
        <v>174.76</v>
      </c>
      <c r="F46" s="16">
        <v>5.3E-3</v>
      </c>
      <c r="G46" s="75"/>
      <c r="I46" s="56"/>
    </row>
    <row r="47" spans="1:9" x14ac:dyDescent="0.25">
      <c r="A47" s="74" t="s">
        <v>1030</v>
      </c>
      <c r="B47" s="31" t="s">
        <v>1031</v>
      </c>
      <c r="C47" s="31" t="s">
        <v>1429</v>
      </c>
      <c r="D47" s="14">
        <v>10346</v>
      </c>
      <c r="E47" s="15">
        <v>172.46</v>
      </c>
      <c r="F47" s="16">
        <v>5.3E-3</v>
      </c>
      <c r="G47" s="75"/>
      <c r="I47" s="56"/>
    </row>
    <row r="48" spans="1:9" x14ac:dyDescent="0.25">
      <c r="A48" s="74" t="s">
        <v>1097</v>
      </c>
      <c r="B48" s="31" t="s">
        <v>1098</v>
      </c>
      <c r="C48" s="31" t="s">
        <v>558</v>
      </c>
      <c r="D48" s="14">
        <v>8356</v>
      </c>
      <c r="E48" s="15">
        <v>171.06</v>
      </c>
      <c r="F48" s="16">
        <v>5.1999999999999998E-3</v>
      </c>
      <c r="G48" s="75"/>
      <c r="I48" s="56"/>
    </row>
    <row r="49" spans="1:9" x14ac:dyDescent="0.25">
      <c r="A49" s="74" t="s">
        <v>543</v>
      </c>
      <c r="B49" s="31" t="s">
        <v>544</v>
      </c>
      <c r="C49" s="31" t="s">
        <v>2026</v>
      </c>
      <c r="D49" s="14">
        <v>104806</v>
      </c>
      <c r="E49" s="15">
        <v>170.36</v>
      </c>
      <c r="F49" s="16">
        <v>5.1999999999999998E-3</v>
      </c>
      <c r="G49" s="75"/>
      <c r="I49" s="56"/>
    </row>
    <row r="50" spans="1:9" x14ac:dyDescent="0.25">
      <c r="A50" s="74" t="s">
        <v>684</v>
      </c>
      <c r="B50" s="31" t="s">
        <v>685</v>
      </c>
      <c r="C50" s="31" t="s">
        <v>450</v>
      </c>
      <c r="D50" s="14">
        <v>19817</v>
      </c>
      <c r="E50" s="15">
        <v>168.78</v>
      </c>
      <c r="F50" s="16">
        <v>5.1999999999999998E-3</v>
      </c>
      <c r="G50" s="75"/>
      <c r="I50" s="56"/>
    </row>
    <row r="51" spans="1:9" x14ac:dyDescent="0.25">
      <c r="A51" s="74" t="s">
        <v>1099</v>
      </c>
      <c r="B51" s="31" t="s">
        <v>1100</v>
      </c>
      <c r="C51" s="31" t="s">
        <v>2028</v>
      </c>
      <c r="D51" s="14">
        <v>5161</v>
      </c>
      <c r="E51" s="15">
        <v>165.48</v>
      </c>
      <c r="F51" s="16">
        <v>5.1000000000000004E-3</v>
      </c>
      <c r="G51" s="75"/>
      <c r="I51" s="56"/>
    </row>
    <row r="52" spans="1:9" x14ac:dyDescent="0.25">
      <c r="A52" s="74" t="s">
        <v>753</v>
      </c>
      <c r="B52" s="31" t="s">
        <v>754</v>
      </c>
      <c r="C52" s="31" t="s">
        <v>487</v>
      </c>
      <c r="D52" s="14">
        <v>12370</v>
      </c>
      <c r="E52" s="15">
        <v>164.31</v>
      </c>
      <c r="F52" s="16">
        <v>5.0000000000000001E-3</v>
      </c>
      <c r="G52" s="75"/>
      <c r="I52" s="56"/>
    </row>
    <row r="53" spans="1:9" x14ac:dyDescent="0.25">
      <c r="A53" s="74" t="s">
        <v>563</v>
      </c>
      <c r="B53" s="31" t="s">
        <v>564</v>
      </c>
      <c r="C53" s="31" t="s">
        <v>2028</v>
      </c>
      <c r="D53" s="14">
        <v>937</v>
      </c>
      <c r="E53" s="15">
        <v>162.86000000000001</v>
      </c>
      <c r="F53" s="16">
        <v>5.0000000000000001E-3</v>
      </c>
      <c r="G53" s="75"/>
      <c r="I53" s="56"/>
    </row>
    <row r="54" spans="1:9" x14ac:dyDescent="0.25">
      <c r="A54" s="74" t="s">
        <v>457</v>
      </c>
      <c r="B54" s="31" t="s">
        <v>458</v>
      </c>
      <c r="C54" s="31" t="s">
        <v>459</v>
      </c>
      <c r="D54" s="14">
        <v>67784</v>
      </c>
      <c r="E54" s="15">
        <v>161.77000000000001</v>
      </c>
      <c r="F54" s="16">
        <v>4.8999999999999998E-3</v>
      </c>
      <c r="G54" s="75"/>
      <c r="I54" s="56"/>
    </row>
    <row r="55" spans="1:9" x14ac:dyDescent="0.25">
      <c r="A55" s="74" t="s">
        <v>678</v>
      </c>
      <c r="B55" s="31" t="s">
        <v>679</v>
      </c>
      <c r="C55" s="31" t="s">
        <v>450</v>
      </c>
      <c r="D55" s="14">
        <v>149473</v>
      </c>
      <c r="E55" s="15">
        <v>160.91</v>
      </c>
      <c r="F55" s="16">
        <v>4.8999999999999998E-3</v>
      </c>
      <c r="G55" s="75"/>
      <c r="I55" s="56"/>
    </row>
    <row r="56" spans="1:9" x14ac:dyDescent="0.25">
      <c r="A56" s="74" t="s">
        <v>708</v>
      </c>
      <c r="B56" s="31" t="s">
        <v>709</v>
      </c>
      <c r="C56" s="31" t="s">
        <v>459</v>
      </c>
      <c r="D56" s="14">
        <v>73864</v>
      </c>
      <c r="E56" s="15">
        <v>160.13999999999999</v>
      </c>
      <c r="F56" s="16">
        <v>4.8999999999999998E-3</v>
      </c>
      <c r="G56" s="75"/>
      <c r="I56" s="56"/>
    </row>
    <row r="57" spans="1:9" x14ac:dyDescent="0.25">
      <c r="A57" s="74" t="s">
        <v>809</v>
      </c>
      <c r="B57" s="31" t="s">
        <v>810</v>
      </c>
      <c r="C57" s="31" t="s">
        <v>2030</v>
      </c>
      <c r="D57" s="14">
        <v>6437</v>
      </c>
      <c r="E57" s="15">
        <v>157.97999999999999</v>
      </c>
      <c r="F57" s="16">
        <v>4.7999999999999996E-3</v>
      </c>
      <c r="G57" s="75"/>
      <c r="I57" s="56"/>
    </row>
    <row r="58" spans="1:9" x14ac:dyDescent="0.25">
      <c r="A58" s="74" t="s">
        <v>468</v>
      </c>
      <c r="B58" s="31" t="s">
        <v>469</v>
      </c>
      <c r="C58" s="31" t="s">
        <v>465</v>
      </c>
      <c r="D58" s="14">
        <v>16882</v>
      </c>
      <c r="E58" s="15">
        <v>157.91</v>
      </c>
      <c r="F58" s="16">
        <v>4.7999999999999996E-3</v>
      </c>
      <c r="G58" s="75"/>
      <c r="I58" s="56"/>
    </row>
    <row r="59" spans="1:9" x14ac:dyDescent="0.25">
      <c r="A59" s="74" t="s">
        <v>1101</v>
      </c>
      <c r="B59" s="31" t="s">
        <v>1102</v>
      </c>
      <c r="C59" s="31" t="s">
        <v>2027</v>
      </c>
      <c r="D59" s="14">
        <v>26458</v>
      </c>
      <c r="E59" s="15">
        <v>156.6</v>
      </c>
      <c r="F59" s="16">
        <v>4.7999999999999996E-3</v>
      </c>
      <c r="G59" s="75"/>
      <c r="I59" s="56"/>
    </row>
    <row r="60" spans="1:9" x14ac:dyDescent="0.25">
      <c r="A60" s="74" t="s">
        <v>688</v>
      </c>
      <c r="B60" s="31" t="s">
        <v>689</v>
      </c>
      <c r="C60" s="31" t="s">
        <v>558</v>
      </c>
      <c r="D60" s="14">
        <v>7597</v>
      </c>
      <c r="E60" s="15">
        <v>153.68</v>
      </c>
      <c r="F60" s="16">
        <v>4.7000000000000002E-3</v>
      </c>
      <c r="G60" s="75"/>
      <c r="I60" s="56"/>
    </row>
    <row r="61" spans="1:9" x14ac:dyDescent="0.25">
      <c r="A61" s="74" t="s">
        <v>1058</v>
      </c>
      <c r="B61" s="31" t="s">
        <v>1059</v>
      </c>
      <c r="C61" s="31" t="s">
        <v>514</v>
      </c>
      <c r="D61" s="14">
        <v>24591</v>
      </c>
      <c r="E61" s="15">
        <v>152.77000000000001</v>
      </c>
      <c r="F61" s="16">
        <v>4.7000000000000002E-3</v>
      </c>
      <c r="G61" s="75"/>
      <c r="I61" s="56"/>
    </row>
    <row r="62" spans="1:9" x14ac:dyDescent="0.25">
      <c r="A62" s="74" t="s">
        <v>1103</v>
      </c>
      <c r="B62" s="31" t="s">
        <v>1104</v>
      </c>
      <c r="C62" s="31" t="s">
        <v>2028</v>
      </c>
      <c r="D62" s="14">
        <v>34164</v>
      </c>
      <c r="E62" s="15">
        <v>152.76</v>
      </c>
      <c r="F62" s="16">
        <v>4.7000000000000002E-3</v>
      </c>
      <c r="G62" s="75"/>
      <c r="I62" s="56"/>
    </row>
    <row r="63" spans="1:9" x14ac:dyDescent="0.25">
      <c r="A63" s="74" t="s">
        <v>793</v>
      </c>
      <c r="B63" s="31" t="s">
        <v>794</v>
      </c>
      <c r="C63" s="31" t="s">
        <v>1429</v>
      </c>
      <c r="D63" s="14">
        <v>862</v>
      </c>
      <c r="E63" s="15">
        <v>152.6</v>
      </c>
      <c r="F63" s="16">
        <v>4.7000000000000002E-3</v>
      </c>
      <c r="G63" s="75"/>
      <c r="I63" s="56"/>
    </row>
    <row r="64" spans="1:9" x14ac:dyDescent="0.25">
      <c r="A64" s="74" t="s">
        <v>791</v>
      </c>
      <c r="B64" s="31" t="s">
        <v>792</v>
      </c>
      <c r="C64" s="31" t="s">
        <v>2028</v>
      </c>
      <c r="D64" s="14">
        <v>30232</v>
      </c>
      <c r="E64" s="15">
        <v>152.28</v>
      </c>
      <c r="F64" s="16">
        <v>4.7000000000000002E-3</v>
      </c>
      <c r="G64" s="75"/>
      <c r="I64" s="56"/>
    </row>
    <row r="65" spans="1:9" x14ac:dyDescent="0.25">
      <c r="A65" s="74" t="s">
        <v>1105</v>
      </c>
      <c r="B65" s="31" t="s">
        <v>1106</v>
      </c>
      <c r="C65" s="31" t="s">
        <v>2028</v>
      </c>
      <c r="D65" s="14">
        <v>1015</v>
      </c>
      <c r="E65" s="15">
        <v>146.32</v>
      </c>
      <c r="F65" s="16">
        <v>4.4999999999999997E-3</v>
      </c>
      <c r="G65" s="75"/>
      <c r="I65" s="56"/>
    </row>
    <row r="66" spans="1:9" x14ac:dyDescent="0.25">
      <c r="A66" s="74" t="s">
        <v>765</v>
      </c>
      <c r="B66" s="31" t="s">
        <v>766</v>
      </c>
      <c r="C66" s="31" t="s">
        <v>2035</v>
      </c>
      <c r="D66" s="14">
        <v>329</v>
      </c>
      <c r="E66" s="15">
        <v>142.09</v>
      </c>
      <c r="F66" s="16">
        <v>4.3E-3</v>
      </c>
      <c r="G66" s="75"/>
      <c r="I66" s="56"/>
    </row>
    <row r="67" spans="1:9" x14ac:dyDescent="0.25">
      <c r="A67" s="74" t="s">
        <v>476</v>
      </c>
      <c r="B67" s="31" t="s">
        <v>477</v>
      </c>
      <c r="C67" s="31" t="s">
        <v>2027</v>
      </c>
      <c r="D67" s="14">
        <v>3253</v>
      </c>
      <c r="E67" s="15">
        <v>139.97</v>
      </c>
      <c r="F67" s="16">
        <v>4.3E-3</v>
      </c>
      <c r="G67" s="75"/>
      <c r="I67" s="56"/>
    </row>
    <row r="68" spans="1:9" x14ac:dyDescent="0.25">
      <c r="A68" s="74" t="s">
        <v>733</v>
      </c>
      <c r="B68" s="31" t="s">
        <v>734</v>
      </c>
      <c r="C68" s="31" t="s">
        <v>626</v>
      </c>
      <c r="D68" s="14">
        <v>71024</v>
      </c>
      <c r="E68" s="15">
        <v>137.61000000000001</v>
      </c>
      <c r="F68" s="16">
        <v>4.1999999999999997E-3</v>
      </c>
      <c r="G68" s="75"/>
      <c r="I68" s="56"/>
    </row>
    <row r="69" spans="1:9" x14ac:dyDescent="0.25">
      <c r="A69" s="74" t="s">
        <v>803</v>
      </c>
      <c r="B69" s="31" t="s">
        <v>804</v>
      </c>
      <c r="C69" s="31" t="s">
        <v>2028</v>
      </c>
      <c r="D69" s="14">
        <v>4256</v>
      </c>
      <c r="E69" s="15">
        <v>131.08000000000001</v>
      </c>
      <c r="F69" s="16">
        <v>4.0000000000000001E-3</v>
      </c>
      <c r="G69" s="75"/>
      <c r="I69" s="56"/>
    </row>
    <row r="70" spans="1:9" x14ac:dyDescent="0.25">
      <c r="A70" s="74" t="s">
        <v>541</v>
      </c>
      <c r="B70" s="31" t="s">
        <v>542</v>
      </c>
      <c r="C70" s="31" t="s">
        <v>501</v>
      </c>
      <c r="D70" s="14">
        <v>54175</v>
      </c>
      <c r="E70" s="15">
        <v>114.2</v>
      </c>
      <c r="F70" s="16">
        <v>3.5000000000000001E-3</v>
      </c>
      <c r="G70" s="75"/>
      <c r="I70" s="56"/>
    </row>
    <row r="71" spans="1:9" x14ac:dyDescent="0.25">
      <c r="A71" s="74" t="s">
        <v>702</v>
      </c>
      <c r="B71" s="31" t="s">
        <v>703</v>
      </c>
      <c r="C71" s="31" t="s">
        <v>2032</v>
      </c>
      <c r="D71" s="14">
        <v>26023</v>
      </c>
      <c r="E71" s="15">
        <v>112.87</v>
      </c>
      <c r="F71" s="16">
        <v>3.5000000000000001E-3</v>
      </c>
      <c r="G71" s="75"/>
      <c r="I71" s="56"/>
    </row>
    <row r="72" spans="1:9" x14ac:dyDescent="0.25">
      <c r="A72" s="74" t="s">
        <v>777</v>
      </c>
      <c r="B72" s="31" t="s">
        <v>778</v>
      </c>
      <c r="C72" s="31" t="s">
        <v>1429</v>
      </c>
      <c r="D72" s="14">
        <v>2333</v>
      </c>
      <c r="E72" s="15">
        <v>102.7</v>
      </c>
      <c r="F72" s="16">
        <v>3.0999999999999999E-3</v>
      </c>
      <c r="G72" s="75"/>
      <c r="I72" s="56"/>
    </row>
    <row r="73" spans="1:9" x14ac:dyDescent="0.25">
      <c r="A73" s="74" t="s">
        <v>694</v>
      </c>
      <c r="B73" s="31" t="s">
        <v>695</v>
      </c>
      <c r="C73" s="31" t="s">
        <v>2032</v>
      </c>
      <c r="D73" s="14">
        <v>16256</v>
      </c>
      <c r="E73" s="15">
        <v>101.71</v>
      </c>
      <c r="F73" s="16">
        <v>3.0999999999999999E-3</v>
      </c>
      <c r="G73" s="75"/>
      <c r="I73" s="56"/>
    </row>
    <row r="74" spans="1:9" x14ac:dyDescent="0.25">
      <c r="A74" s="74" t="s">
        <v>755</v>
      </c>
      <c r="B74" s="31" t="s">
        <v>756</v>
      </c>
      <c r="C74" s="31" t="s">
        <v>480</v>
      </c>
      <c r="D74" s="14">
        <v>4174</v>
      </c>
      <c r="E74" s="15">
        <v>101.48</v>
      </c>
      <c r="F74" s="16">
        <v>3.0999999999999999E-3</v>
      </c>
      <c r="G74" s="75"/>
      <c r="I74" s="56"/>
    </row>
    <row r="75" spans="1:9" x14ac:dyDescent="0.25">
      <c r="A75" s="74" t="s">
        <v>502</v>
      </c>
      <c r="B75" s="31" t="s">
        <v>503</v>
      </c>
      <c r="C75" s="31" t="s">
        <v>2025</v>
      </c>
      <c r="D75" s="14">
        <v>67247</v>
      </c>
      <c r="E75" s="15">
        <v>93.78</v>
      </c>
      <c r="F75" s="16">
        <v>2.8999999999999998E-3</v>
      </c>
      <c r="G75" s="75"/>
      <c r="I75" s="56"/>
    </row>
    <row r="76" spans="1:9" x14ac:dyDescent="0.25">
      <c r="A76" s="74" t="s">
        <v>616</v>
      </c>
      <c r="B76" s="31" t="s">
        <v>617</v>
      </c>
      <c r="C76" s="31" t="s">
        <v>608</v>
      </c>
      <c r="D76" s="14">
        <v>3513</v>
      </c>
      <c r="E76" s="15">
        <v>92.62</v>
      </c>
      <c r="F76" s="16">
        <v>2.8E-3</v>
      </c>
      <c r="G76" s="75"/>
      <c r="I76" s="56"/>
    </row>
    <row r="77" spans="1:9" x14ac:dyDescent="0.25">
      <c r="A77" s="74" t="s">
        <v>448</v>
      </c>
      <c r="B77" s="31" t="s">
        <v>449</v>
      </c>
      <c r="C77" s="31" t="s">
        <v>450</v>
      </c>
      <c r="D77" s="14">
        <v>2994</v>
      </c>
      <c r="E77" s="15">
        <v>71.569999999999993</v>
      </c>
      <c r="F77" s="16">
        <v>2.2000000000000001E-3</v>
      </c>
      <c r="G77" s="75"/>
      <c r="I77" s="56"/>
    </row>
    <row r="78" spans="1:9" x14ac:dyDescent="0.25">
      <c r="A78" s="74" t="s">
        <v>441</v>
      </c>
      <c r="B78" s="31" t="s">
        <v>1066</v>
      </c>
      <c r="C78" s="31" t="s">
        <v>443</v>
      </c>
      <c r="D78" s="14">
        <v>11158</v>
      </c>
      <c r="E78" s="15">
        <v>44.18</v>
      </c>
      <c r="F78" s="16">
        <v>1.4E-3</v>
      </c>
      <c r="G78" s="75"/>
      <c r="I78" s="56"/>
    </row>
    <row r="79" spans="1:9" x14ac:dyDescent="0.25">
      <c r="A79" s="74" t="s">
        <v>1062</v>
      </c>
      <c r="B79" s="31" t="s">
        <v>1063</v>
      </c>
      <c r="C79" s="31" t="s">
        <v>2025</v>
      </c>
      <c r="D79" s="14">
        <v>67247</v>
      </c>
      <c r="E79" s="15">
        <v>43.34</v>
      </c>
      <c r="F79" s="16">
        <v>1.2999999999999999E-3</v>
      </c>
      <c r="G79" s="75"/>
      <c r="I79" s="56"/>
    </row>
    <row r="80" spans="1:9" x14ac:dyDescent="0.25">
      <c r="A80" s="76" t="s">
        <v>90</v>
      </c>
      <c r="B80" s="32"/>
      <c r="C80" s="32"/>
      <c r="D80" s="18"/>
      <c r="E80" s="35">
        <v>28549.85</v>
      </c>
      <c r="F80" s="36">
        <v>0.87370000000000003</v>
      </c>
      <c r="G80" s="77"/>
      <c r="I80" s="56"/>
    </row>
    <row r="81" spans="1:9" x14ac:dyDescent="0.25">
      <c r="A81" s="76" t="s">
        <v>815</v>
      </c>
      <c r="B81" s="31"/>
      <c r="C81" s="31"/>
      <c r="D81" s="14"/>
      <c r="E81" s="15"/>
      <c r="F81" s="16"/>
      <c r="G81" s="75"/>
      <c r="I81" s="56"/>
    </row>
    <row r="82" spans="1:9" x14ac:dyDescent="0.25">
      <c r="A82" s="76" t="s">
        <v>90</v>
      </c>
      <c r="B82" s="31"/>
      <c r="C82" s="31"/>
      <c r="D82" s="14"/>
      <c r="E82" s="37" t="s">
        <v>85</v>
      </c>
      <c r="F82" s="38" t="s">
        <v>85</v>
      </c>
      <c r="G82" s="75"/>
      <c r="I82" s="56"/>
    </row>
    <row r="83" spans="1:9" x14ac:dyDescent="0.25">
      <c r="A83" s="78" t="s">
        <v>93</v>
      </c>
      <c r="B83" s="79"/>
      <c r="C83" s="79"/>
      <c r="D83" s="80"/>
      <c r="E83" s="28">
        <v>28549.85</v>
      </c>
      <c r="F83" s="29">
        <v>0.87370000000000003</v>
      </c>
      <c r="G83" s="77"/>
      <c r="I83" s="56"/>
    </row>
    <row r="84" spans="1:9" x14ac:dyDescent="0.25">
      <c r="A84" s="74"/>
      <c r="B84" s="31"/>
      <c r="C84" s="31"/>
      <c r="D84" s="14"/>
      <c r="E84" s="15"/>
      <c r="F84" s="16"/>
      <c r="G84" s="75"/>
      <c r="I84" s="56"/>
    </row>
    <row r="85" spans="1:9" x14ac:dyDescent="0.25">
      <c r="A85" s="76" t="s">
        <v>816</v>
      </c>
      <c r="B85" s="31"/>
      <c r="C85" s="31"/>
      <c r="D85" s="14"/>
      <c r="E85" s="15"/>
      <c r="F85" s="16"/>
      <c r="G85" s="75"/>
      <c r="I85" s="56"/>
    </row>
    <row r="86" spans="1:9" x14ac:dyDescent="0.25">
      <c r="A86" s="76" t="s">
        <v>817</v>
      </c>
      <c r="B86" s="31"/>
      <c r="C86" s="31"/>
      <c r="D86" s="14"/>
      <c r="E86" s="15"/>
      <c r="F86" s="16"/>
      <c r="G86" s="75"/>
      <c r="I86" s="56"/>
    </row>
    <row r="87" spans="1:9" x14ac:dyDescent="0.25">
      <c r="A87" s="74" t="s">
        <v>947</v>
      </c>
      <c r="B87" s="31"/>
      <c r="C87" s="31"/>
      <c r="D87" s="14">
        <v>89650</v>
      </c>
      <c r="E87" s="15">
        <v>1322.97</v>
      </c>
      <c r="F87" s="16">
        <v>4.0474000000000003E-2</v>
      </c>
      <c r="G87" s="75"/>
      <c r="I87" s="56"/>
    </row>
    <row r="88" spans="1:9" x14ac:dyDescent="0.25">
      <c r="A88" s="74" t="s">
        <v>1075</v>
      </c>
      <c r="B88" s="31"/>
      <c r="C88" s="31"/>
      <c r="D88" s="14">
        <v>1650</v>
      </c>
      <c r="E88" s="15">
        <v>603.14</v>
      </c>
      <c r="F88" s="16">
        <v>1.8452E-2</v>
      </c>
      <c r="G88" s="75"/>
      <c r="I88" s="56"/>
    </row>
    <row r="89" spans="1:9" x14ac:dyDescent="0.25">
      <c r="A89" s="74" t="s">
        <v>1080</v>
      </c>
      <c r="B89" s="31"/>
      <c r="C89" s="31"/>
      <c r="D89" s="14">
        <v>3150</v>
      </c>
      <c r="E89" s="15">
        <v>552.65</v>
      </c>
      <c r="F89" s="16">
        <v>1.6906999999999998E-2</v>
      </c>
      <c r="G89" s="75"/>
      <c r="I89" s="56"/>
    </row>
    <row r="90" spans="1:9" x14ac:dyDescent="0.25">
      <c r="A90" s="74" t="s">
        <v>873</v>
      </c>
      <c r="B90" s="31"/>
      <c r="C90" s="31"/>
      <c r="D90" s="14">
        <v>59850</v>
      </c>
      <c r="E90" s="15">
        <v>261.07</v>
      </c>
      <c r="F90" s="16">
        <v>7.986E-3</v>
      </c>
      <c r="G90" s="75"/>
      <c r="I90" s="56"/>
    </row>
    <row r="91" spans="1:9" x14ac:dyDescent="0.25">
      <c r="A91" s="74" t="s">
        <v>878</v>
      </c>
      <c r="B91" s="31"/>
      <c r="C91" s="31"/>
      <c r="D91" s="14">
        <v>21000</v>
      </c>
      <c r="E91" s="15">
        <v>132.03</v>
      </c>
      <c r="F91" s="16">
        <v>4.0390000000000001E-3</v>
      </c>
      <c r="G91" s="75"/>
      <c r="I91" s="56"/>
    </row>
    <row r="92" spans="1:9" x14ac:dyDescent="0.25">
      <c r="A92" s="76" t="s">
        <v>90</v>
      </c>
      <c r="B92" s="32"/>
      <c r="C92" s="32"/>
      <c r="D92" s="18"/>
      <c r="E92" s="35">
        <v>2871.86</v>
      </c>
      <c r="F92" s="36">
        <v>8.7858000000000006E-2</v>
      </c>
      <c r="G92" s="77"/>
      <c r="I92" s="56"/>
    </row>
    <row r="93" spans="1:9" x14ac:dyDescent="0.25">
      <c r="A93" s="74"/>
      <c r="B93" s="31"/>
      <c r="C93" s="31"/>
      <c r="D93" s="14"/>
      <c r="E93" s="15"/>
      <c r="F93" s="16"/>
      <c r="G93" s="75"/>
      <c r="I93" s="56"/>
    </row>
    <row r="94" spans="1:9" x14ac:dyDescent="0.25">
      <c r="A94" s="74"/>
      <c r="B94" s="31"/>
      <c r="C94" s="31"/>
      <c r="D94" s="14"/>
      <c r="E94" s="15"/>
      <c r="F94" s="16"/>
      <c r="G94" s="75"/>
      <c r="I94" s="56"/>
    </row>
    <row r="95" spans="1:9" x14ac:dyDescent="0.25">
      <c r="A95" s="74"/>
      <c r="B95" s="31"/>
      <c r="C95" s="31"/>
      <c r="D95" s="14"/>
      <c r="E95" s="15"/>
      <c r="F95" s="16"/>
      <c r="G95" s="75"/>
      <c r="I95" s="56"/>
    </row>
    <row r="96" spans="1:9" x14ac:dyDescent="0.25">
      <c r="A96" s="78" t="s">
        <v>93</v>
      </c>
      <c r="B96" s="79"/>
      <c r="C96" s="79"/>
      <c r="D96" s="80"/>
      <c r="E96" s="35">
        <v>2871.86</v>
      </c>
      <c r="F96" s="36">
        <v>8.7858000000000006E-2</v>
      </c>
      <c r="G96" s="77"/>
      <c r="I96" s="56"/>
    </row>
    <row r="97" spans="1:9" x14ac:dyDescent="0.25">
      <c r="A97" s="74"/>
      <c r="B97" s="31"/>
      <c r="C97" s="31"/>
      <c r="D97" s="14"/>
      <c r="E97" s="15"/>
      <c r="F97" s="16"/>
      <c r="G97" s="75"/>
      <c r="I97" s="56"/>
    </row>
    <row r="98" spans="1:9" x14ac:dyDescent="0.25">
      <c r="A98" s="76" t="s">
        <v>94</v>
      </c>
      <c r="B98" s="31"/>
      <c r="C98" s="31"/>
      <c r="D98" s="14"/>
      <c r="E98" s="15"/>
      <c r="F98" s="16"/>
      <c r="G98" s="75"/>
      <c r="I98" s="56"/>
    </row>
    <row r="99" spans="1:9" x14ac:dyDescent="0.25">
      <c r="A99" s="74"/>
      <c r="B99" s="31"/>
      <c r="C99" s="31"/>
      <c r="D99" s="14"/>
      <c r="E99" s="15"/>
      <c r="F99" s="16"/>
      <c r="G99" s="75"/>
      <c r="I99" s="56"/>
    </row>
    <row r="100" spans="1:9" x14ac:dyDescent="0.25">
      <c r="A100" s="76" t="s">
        <v>330</v>
      </c>
      <c r="B100" s="31"/>
      <c r="C100" s="31"/>
      <c r="D100" s="14"/>
      <c r="E100" s="15"/>
      <c r="F100" s="16"/>
      <c r="G100" s="75"/>
      <c r="I100" s="56"/>
    </row>
    <row r="101" spans="1:9" x14ac:dyDescent="0.25">
      <c r="A101" s="74" t="s">
        <v>1962</v>
      </c>
      <c r="B101" s="31" t="s">
        <v>1107</v>
      </c>
      <c r="C101" s="31" t="s">
        <v>197</v>
      </c>
      <c r="D101" s="14">
        <v>700000</v>
      </c>
      <c r="E101" s="15">
        <v>695.09</v>
      </c>
      <c r="F101" s="16">
        <v>2.1299999999999999E-2</v>
      </c>
      <c r="G101" s="75">
        <v>3.7402999999999999E-2</v>
      </c>
      <c r="I101" s="56"/>
    </row>
    <row r="102" spans="1:9" x14ac:dyDescent="0.25">
      <c r="A102" s="74" t="s">
        <v>1963</v>
      </c>
      <c r="B102" s="31" t="s">
        <v>1108</v>
      </c>
      <c r="C102" s="31" t="s">
        <v>197</v>
      </c>
      <c r="D102" s="14">
        <v>500000</v>
      </c>
      <c r="E102" s="15">
        <v>499.11</v>
      </c>
      <c r="F102" s="16">
        <v>1.5299999999999999E-2</v>
      </c>
      <c r="G102" s="75">
        <v>3.2496999999999998E-2</v>
      </c>
      <c r="I102" s="56"/>
    </row>
    <row r="103" spans="1:9" x14ac:dyDescent="0.25">
      <c r="A103" s="76" t="s">
        <v>90</v>
      </c>
      <c r="B103" s="32"/>
      <c r="C103" s="32"/>
      <c r="D103" s="18"/>
      <c r="E103" s="35">
        <v>1194.2</v>
      </c>
      <c r="F103" s="36">
        <v>3.6600000000000001E-2</v>
      </c>
      <c r="G103" s="77"/>
      <c r="I103" s="56"/>
    </row>
    <row r="104" spans="1:9" x14ac:dyDescent="0.25">
      <c r="A104" s="74"/>
      <c r="B104" s="31"/>
      <c r="C104" s="31"/>
      <c r="D104" s="14"/>
      <c r="E104" s="15"/>
      <c r="F104" s="16"/>
      <c r="G104" s="75"/>
      <c r="I104" s="56"/>
    </row>
    <row r="105" spans="1:9" x14ac:dyDescent="0.25">
      <c r="A105" s="78" t="s">
        <v>93</v>
      </c>
      <c r="B105" s="79"/>
      <c r="C105" s="79"/>
      <c r="D105" s="80"/>
      <c r="E105" s="35">
        <v>1194.2</v>
      </c>
      <c r="F105" s="36">
        <v>3.6600000000000001E-2</v>
      </c>
      <c r="G105" s="77"/>
      <c r="I105" s="56"/>
    </row>
    <row r="106" spans="1:9" x14ac:dyDescent="0.25">
      <c r="A106" s="74"/>
      <c r="B106" s="31"/>
      <c r="C106" s="31"/>
      <c r="D106" s="14"/>
      <c r="E106" s="15"/>
      <c r="F106" s="16"/>
      <c r="G106" s="75"/>
      <c r="I106" s="56"/>
    </row>
    <row r="107" spans="1:9" x14ac:dyDescent="0.25">
      <c r="A107" s="74"/>
      <c r="B107" s="31"/>
      <c r="C107" s="31"/>
      <c r="D107" s="14"/>
      <c r="E107" s="15"/>
      <c r="F107" s="16"/>
      <c r="G107" s="75"/>
      <c r="I107" s="56"/>
    </row>
    <row r="108" spans="1:9" x14ac:dyDescent="0.25">
      <c r="A108" s="76" t="s">
        <v>110</v>
      </c>
      <c r="B108" s="31"/>
      <c r="C108" s="31"/>
      <c r="D108" s="14"/>
      <c r="E108" s="15"/>
      <c r="F108" s="16"/>
      <c r="G108" s="75"/>
      <c r="I108" s="56"/>
    </row>
    <row r="109" spans="1:9" x14ac:dyDescent="0.25">
      <c r="A109" s="74" t="s">
        <v>111</v>
      </c>
      <c r="B109" s="31"/>
      <c r="C109" s="31"/>
      <c r="D109" s="14"/>
      <c r="E109" s="15">
        <v>3548.61</v>
      </c>
      <c r="F109" s="16">
        <v>0.1086</v>
      </c>
      <c r="G109" s="75">
        <v>3.5790000000000002E-2</v>
      </c>
      <c r="I109" s="56"/>
    </row>
    <row r="110" spans="1:9" x14ac:dyDescent="0.25">
      <c r="A110" s="76" t="s">
        <v>90</v>
      </c>
      <c r="B110" s="32"/>
      <c r="C110" s="32"/>
      <c r="D110" s="18"/>
      <c r="E110" s="35">
        <v>3548.61</v>
      </c>
      <c r="F110" s="36">
        <v>0.1086</v>
      </c>
      <c r="G110" s="77"/>
      <c r="I110" s="56"/>
    </row>
    <row r="111" spans="1:9" x14ac:dyDescent="0.25">
      <c r="A111" s="74"/>
      <c r="B111" s="31"/>
      <c r="C111" s="31"/>
      <c r="D111" s="14"/>
      <c r="E111" s="15"/>
      <c r="F111" s="16"/>
      <c r="G111" s="75"/>
      <c r="I111" s="56"/>
    </row>
    <row r="112" spans="1:9" x14ac:dyDescent="0.25">
      <c r="A112" s="78" t="s">
        <v>93</v>
      </c>
      <c r="B112" s="79"/>
      <c r="C112" s="79"/>
      <c r="D112" s="80"/>
      <c r="E112" s="35">
        <v>3548.61</v>
      </c>
      <c r="F112" s="36">
        <v>0.1086</v>
      </c>
      <c r="G112" s="77"/>
      <c r="I112" s="56"/>
    </row>
    <row r="113" spans="1:9" x14ac:dyDescent="0.25">
      <c r="A113" s="74" t="s">
        <v>112</v>
      </c>
      <c r="B113" s="31"/>
      <c r="C113" s="31"/>
      <c r="D113" s="14"/>
      <c r="E113" s="15">
        <v>0.34795799999999999</v>
      </c>
      <c r="F113" s="53" t="s">
        <v>2022</v>
      </c>
      <c r="G113" s="75"/>
      <c r="I113" s="56"/>
    </row>
    <row r="114" spans="1:9" x14ac:dyDescent="0.25">
      <c r="A114" s="74" t="s">
        <v>113</v>
      </c>
      <c r="B114" s="31"/>
      <c r="C114" s="31"/>
      <c r="D114" s="14"/>
      <c r="E114" s="24">
        <v>-606.25795800000003</v>
      </c>
      <c r="F114" s="25">
        <v>-1.891E-2</v>
      </c>
      <c r="G114" s="75">
        <v>3.5790000000000002E-2</v>
      </c>
      <c r="I114" s="56"/>
    </row>
    <row r="115" spans="1:9" x14ac:dyDescent="0.25">
      <c r="A115" s="81" t="s">
        <v>114</v>
      </c>
      <c r="B115" s="34"/>
      <c r="C115" s="34"/>
      <c r="D115" s="27"/>
      <c r="E115" s="28">
        <v>32686.75</v>
      </c>
      <c r="F115" s="29">
        <v>1</v>
      </c>
      <c r="G115" s="82"/>
      <c r="I115" s="56"/>
    </row>
    <row r="116" spans="1:9" x14ac:dyDescent="0.25">
      <c r="A116" s="54"/>
      <c r="B116" s="56"/>
      <c r="C116" s="56"/>
      <c r="D116" s="56"/>
      <c r="E116" s="56"/>
      <c r="F116" s="56"/>
      <c r="G116" s="66"/>
      <c r="I116" s="56"/>
    </row>
    <row r="117" spans="1:9" x14ac:dyDescent="0.25">
      <c r="A117" s="83" t="s">
        <v>1016</v>
      </c>
      <c r="B117" s="56"/>
      <c r="C117" s="56"/>
      <c r="D117" s="56"/>
      <c r="E117" s="56"/>
      <c r="F117" s="56"/>
      <c r="G117" s="66"/>
      <c r="I117" s="56"/>
    </row>
    <row r="118" spans="1:9" x14ac:dyDescent="0.25">
      <c r="A118" s="83" t="s">
        <v>2023</v>
      </c>
      <c r="B118" s="56"/>
      <c r="C118" s="56"/>
      <c r="D118" s="56"/>
      <c r="E118" s="56"/>
      <c r="F118" s="56"/>
      <c r="G118" s="66"/>
      <c r="I118" s="56"/>
    </row>
    <row r="119" spans="1:9" x14ac:dyDescent="0.25">
      <c r="A119" s="54"/>
      <c r="B119" s="56"/>
      <c r="C119" s="56"/>
      <c r="D119" s="56"/>
      <c r="E119" s="56"/>
      <c r="F119" s="56"/>
      <c r="G119" s="66"/>
      <c r="I119" s="56"/>
    </row>
    <row r="120" spans="1:9" x14ac:dyDescent="0.25">
      <c r="A120" s="83" t="s">
        <v>1476</v>
      </c>
      <c r="B120" s="56"/>
      <c r="C120" s="56"/>
      <c r="D120" s="56"/>
      <c r="E120" s="56"/>
      <c r="F120" s="56"/>
      <c r="G120" s="66"/>
      <c r="I120" s="56"/>
    </row>
    <row r="121" spans="1:9" x14ac:dyDescent="0.25">
      <c r="A121" s="84" t="s">
        <v>1477</v>
      </c>
      <c r="B121" s="85" t="s">
        <v>85</v>
      </c>
      <c r="C121" s="56"/>
      <c r="D121" s="56"/>
      <c r="E121" s="56"/>
      <c r="F121" s="56"/>
      <c r="G121" s="66"/>
      <c r="I121" s="56"/>
    </row>
    <row r="122" spans="1:9" x14ac:dyDescent="0.25">
      <c r="A122" s="54" t="s">
        <v>1626</v>
      </c>
      <c r="B122" s="56"/>
      <c r="C122" s="56"/>
      <c r="D122" s="56"/>
      <c r="E122" s="56"/>
      <c r="F122" s="56"/>
      <c r="G122" s="66"/>
      <c r="I122" s="56"/>
    </row>
    <row r="123" spans="1:9" x14ac:dyDescent="0.25">
      <c r="A123" s="54" t="s">
        <v>1478</v>
      </c>
      <c r="B123" s="85" t="s">
        <v>1479</v>
      </c>
      <c r="C123" s="85" t="s">
        <v>1479</v>
      </c>
      <c r="D123" s="56"/>
      <c r="E123" s="56"/>
      <c r="F123" s="56"/>
      <c r="G123" s="66"/>
      <c r="I123" s="56"/>
    </row>
    <row r="124" spans="1:9" x14ac:dyDescent="0.25">
      <c r="A124" s="54"/>
      <c r="B124" s="86">
        <v>44469</v>
      </c>
      <c r="C124" s="86">
        <v>44651</v>
      </c>
      <c r="D124" s="56"/>
      <c r="E124" s="56"/>
      <c r="F124" s="56"/>
      <c r="G124" s="66"/>
      <c r="I124" s="56"/>
    </row>
    <row r="125" spans="1:9" x14ac:dyDescent="0.25">
      <c r="A125" s="54" t="s">
        <v>1483</v>
      </c>
      <c r="B125" s="56">
        <v>59.56</v>
      </c>
      <c r="C125" s="56">
        <v>58.76</v>
      </c>
      <c r="D125" s="56"/>
      <c r="E125" s="59"/>
      <c r="F125" s="56"/>
      <c r="G125" s="87"/>
      <c r="I125" s="56"/>
    </row>
    <row r="126" spans="1:9" x14ac:dyDescent="0.25">
      <c r="A126" s="54" t="s">
        <v>1484</v>
      </c>
      <c r="B126" s="56">
        <v>30.06</v>
      </c>
      <c r="C126" s="56">
        <v>28.64</v>
      </c>
      <c r="D126" s="56"/>
      <c r="E126" s="59"/>
      <c r="F126" s="56"/>
      <c r="G126" s="87"/>
      <c r="I126" s="56"/>
    </row>
    <row r="127" spans="1:9" x14ac:dyDescent="0.25">
      <c r="A127" s="54" t="s">
        <v>1536</v>
      </c>
      <c r="B127" s="56">
        <v>55.28</v>
      </c>
      <c r="C127" s="56">
        <v>54.13</v>
      </c>
      <c r="D127" s="56"/>
      <c r="E127" s="59"/>
      <c r="F127" s="56"/>
      <c r="G127" s="87"/>
      <c r="I127" s="56"/>
    </row>
    <row r="128" spans="1:9" x14ac:dyDescent="0.25">
      <c r="A128" s="54" t="s">
        <v>1537</v>
      </c>
      <c r="B128" s="56">
        <v>55.94</v>
      </c>
      <c r="C128" s="56">
        <v>54.78</v>
      </c>
      <c r="D128" s="56"/>
      <c r="E128" s="59"/>
      <c r="F128" s="56"/>
      <c r="G128" s="87"/>
      <c r="I128" s="56"/>
    </row>
    <row r="129" spans="1:9" x14ac:dyDescent="0.25">
      <c r="A129" s="54" t="s">
        <v>1538</v>
      </c>
      <c r="B129" s="56">
        <v>54.55</v>
      </c>
      <c r="C129" s="56">
        <v>53.42</v>
      </c>
      <c r="D129" s="56"/>
      <c r="E129" s="59"/>
      <c r="F129" s="56"/>
      <c r="G129" s="87"/>
      <c r="I129" s="56"/>
    </row>
    <row r="130" spans="1:9" x14ac:dyDescent="0.25">
      <c r="A130" s="54" t="s">
        <v>1539</v>
      </c>
      <c r="B130" s="56">
        <v>44.59</v>
      </c>
      <c r="C130" s="56">
        <v>43.67</v>
      </c>
      <c r="D130" s="56"/>
      <c r="E130" s="59"/>
      <c r="F130" s="56"/>
      <c r="G130" s="87"/>
      <c r="I130" s="56"/>
    </row>
    <row r="131" spans="1:9" x14ac:dyDescent="0.25">
      <c r="A131" s="54" t="s">
        <v>1503</v>
      </c>
      <c r="B131" s="56">
        <v>54.99</v>
      </c>
      <c r="C131" s="56">
        <v>53.85</v>
      </c>
      <c r="D131" s="56"/>
      <c r="E131" s="59"/>
      <c r="F131" s="56"/>
      <c r="G131" s="87"/>
      <c r="I131" s="56"/>
    </row>
    <row r="132" spans="1:9" x14ac:dyDescent="0.25">
      <c r="A132" s="54" t="s">
        <v>1504</v>
      </c>
      <c r="B132" s="102">
        <v>24.1</v>
      </c>
      <c r="C132" s="56">
        <v>22.59</v>
      </c>
      <c r="D132" s="56"/>
      <c r="E132" s="59"/>
      <c r="F132" s="56"/>
      <c r="G132" s="87"/>
      <c r="I132" s="56"/>
    </row>
    <row r="133" spans="1:9" x14ac:dyDescent="0.25">
      <c r="A133" s="54"/>
      <c r="B133" s="56"/>
      <c r="C133" s="56"/>
      <c r="D133" s="56"/>
      <c r="E133" s="59"/>
      <c r="F133" s="56"/>
      <c r="G133" s="87"/>
      <c r="I133" s="56"/>
    </row>
    <row r="134" spans="1:9" x14ac:dyDescent="0.25">
      <c r="A134" s="54" t="s">
        <v>2007</v>
      </c>
      <c r="B134" s="56"/>
      <c r="C134" s="56"/>
      <c r="D134" s="56"/>
      <c r="E134" s="56"/>
      <c r="F134" s="56"/>
      <c r="G134" s="66"/>
    </row>
    <row r="135" spans="1:9" x14ac:dyDescent="0.25">
      <c r="A135" s="54"/>
      <c r="B135" s="56"/>
      <c r="C135" s="56"/>
      <c r="D135" s="56"/>
      <c r="E135" s="56"/>
      <c r="F135" s="56"/>
      <c r="G135" s="66"/>
    </row>
    <row r="136" spans="1:9" x14ac:dyDescent="0.25">
      <c r="A136" s="93" t="s">
        <v>1507</v>
      </c>
      <c r="B136" s="94" t="s">
        <v>1508</v>
      </c>
      <c r="C136" s="95" t="s">
        <v>2018</v>
      </c>
      <c r="D136" s="95" t="s">
        <v>2019</v>
      </c>
      <c r="E136" s="56"/>
      <c r="F136" s="56"/>
      <c r="G136" s="66"/>
    </row>
    <row r="137" spans="1:9" x14ac:dyDescent="0.25">
      <c r="A137" s="96" t="s">
        <v>1540</v>
      </c>
      <c r="B137" s="97"/>
      <c r="C137" s="97">
        <v>1</v>
      </c>
      <c r="D137" s="97">
        <v>1</v>
      </c>
      <c r="E137" s="56"/>
      <c r="F137" s="56"/>
      <c r="G137" s="66"/>
    </row>
    <row r="138" spans="1:9" x14ac:dyDescent="0.25">
      <c r="A138" s="96" t="s">
        <v>1515</v>
      </c>
      <c r="B138" s="97"/>
      <c r="C138" s="97">
        <v>1</v>
      </c>
      <c r="D138" s="97">
        <v>1</v>
      </c>
      <c r="E138" s="56"/>
      <c r="F138" s="56"/>
      <c r="G138" s="66"/>
    </row>
    <row r="139" spans="1:9" x14ac:dyDescent="0.25">
      <c r="A139" s="54"/>
      <c r="B139" s="56"/>
      <c r="C139" s="56"/>
      <c r="D139" s="56"/>
      <c r="E139" s="56"/>
      <c r="F139" s="56"/>
      <c r="G139" s="66"/>
    </row>
    <row r="140" spans="1:9" x14ac:dyDescent="0.25">
      <c r="A140" s="54" t="s">
        <v>2008</v>
      </c>
      <c r="B140" s="85" t="s">
        <v>85</v>
      </c>
      <c r="C140" s="56"/>
      <c r="D140" s="56"/>
      <c r="E140" s="56"/>
      <c r="F140" s="56"/>
      <c r="G140" s="66"/>
    </row>
    <row r="141" spans="1:9" ht="20.25" customHeight="1" x14ac:dyDescent="0.25">
      <c r="A141" s="84" t="s">
        <v>2009</v>
      </c>
      <c r="B141" s="85" t="s">
        <v>85</v>
      </c>
      <c r="C141" s="56"/>
      <c r="D141" s="56"/>
      <c r="E141" s="56"/>
      <c r="F141" s="56"/>
      <c r="G141" s="66"/>
    </row>
    <row r="142" spans="1:9" x14ac:dyDescent="0.25">
      <c r="A142" s="84" t="s">
        <v>2010</v>
      </c>
      <c r="B142" s="85" t="s">
        <v>85</v>
      </c>
      <c r="C142" s="56"/>
      <c r="D142" s="56"/>
      <c r="E142" s="56"/>
      <c r="F142" s="56"/>
      <c r="G142" s="66"/>
    </row>
    <row r="143" spans="1:9" x14ac:dyDescent="0.25">
      <c r="A143" s="54" t="s">
        <v>1529</v>
      </c>
      <c r="B143" s="88">
        <v>1.929122</v>
      </c>
      <c r="C143" s="56"/>
      <c r="D143" s="56"/>
      <c r="E143" s="56"/>
      <c r="F143" s="56"/>
      <c r="G143" s="66"/>
    </row>
    <row r="144" spans="1:9" ht="30" x14ac:dyDescent="0.25">
      <c r="A144" s="84" t="s">
        <v>2011</v>
      </c>
      <c r="B144" s="88">
        <v>2871.8481000000002</v>
      </c>
      <c r="C144" s="56"/>
      <c r="D144" s="56"/>
      <c r="E144" s="56"/>
      <c r="F144" s="56"/>
      <c r="G144" s="66"/>
    </row>
    <row r="145" spans="1:7" ht="30" x14ac:dyDescent="0.25">
      <c r="A145" s="84" t="s">
        <v>1495</v>
      </c>
      <c r="B145" s="85" t="s">
        <v>85</v>
      </c>
      <c r="C145" s="56"/>
      <c r="D145" s="56"/>
      <c r="E145" s="56"/>
      <c r="F145" s="56"/>
      <c r="G145" s="66"/>
    </row>
    <row r="146" spans="1:7" x14ac:dyDescent="0.25">
      <c r="A146" s="54" t="s">
        <v>1607</v>
      </c>
      <c r="B146" s="85" t="s">
        <v>85</v>
      </c>
      <c r="C146" s="56"/>
      <c r="D146" s="56"/>
      <c r="E146" s="56"/>
      <c r="F146" s="56"/>
      <c r="G146" s="66"/>
    </row>
    <row r="147" spans="1:7" x14ac:dyDescent="0.25">
      <c r="A147" s="54" t="s">
        <v>1608</v>
      </c>
      <c r="B147" s="85" t="s">
        <v>85</v>
      </c>
      <c r="C147" s="56"/>
      <c r="D147" s="56"/>
      <c r="E147" s="56"/>
      <c r="F147" s="56"/>
      <c r="G147" s="66"/>
    </row>
    <row r="148" spans="1:7" ht="15.75" thickBot="1" x14ac:dyDescent="0.3">
      <c r="A148" s="89"/>
      <c r="B148" s="90"/>
      <c r="C148" s="90"/>
      <c r="D148" s="90"/>
      <c r="E148" s="90"/>
      <c r="F148" s="90"/>
      <c r="G148" s="91"/>
    </row>
    <row r="150" spans="1:7" ht="30" x14ac:dyDescent="0.25">
      <c r="A150" s="107" t="s">
        <v>2042</v>
      </c>
      <c r="B150" s="108" t="s">
        <v>2043</v>
      </c>
      <c r="C150" s="108" t="s">
        <v>2044</v>
      </c>
      <c r="D150" s="109" t="s">
        <v>2045</v>
      </c>
    </row>
    <row r="151" spans="1:7" ht="40.5" customHeight="1" x14ac:dyDescent="0.25">
      <c r="A151" s="110" t="str">
        <f>HYPERLINK("[EDEL_Portfolio Monthly 31-Mar-2022.xlsx]EEDGEF!A1","Edelweiss Large Cap Fund")</f>
        <v>Edelweiss Large Cap Fund</v>
      </c>
      <c r="B151" s="111"/>
      <c r="C151" s="111" t="s">
        <v>2061</v>
      </c>
      <c r="D151" s="111"/>
    </row>
  </sheetData>
  <mergeCells count="2">
    <mergeCell ref="A3:G3"/>
    <mergeCell ref="A4:G4"/>
  </mergeCells>
  <pageMargins left="0.7" right="0.7" top="0.75" bottom="0.75" header="0.3" footer="0.3"/>
  <pageSetup orientation="portrait" horizontalDpi="300" verticalDpi="3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12"/>
  <sheetViews>
    <sheetView showGridLines="0" topLeftCell="B1" workbookViewId="0">
      <pane ySplit="6" topLeftCell="A52"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45.5703125" bestFit="1"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2040</v>
      </c>
      <c r="B3" s="139"/>
      <c r="C3" s="139"/>
      <c r="D3" s="139"/>
      <c r="E3" s="139"/>
      <c r="F3" s="139"/>
      <c r="G3" s="140"/>
      <c r="H3" s="46" t="str">
        <f>HYPERLINK("[EDEL_Portfolio HY 31032022.xlsx]Index!A1","Index")</f>
        <v>Index</v>
      </c>
    </row>
    <row r="4" spans="1:8" ht="19.5" customHeight="1" x14ac:dyDescent="0.25">
      <c r="A4" s="141" t="s">
        <v>46</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6" t="s">
        <v>84</v>
      </c>
      <c r="B8" s="31"/>
      <c r="C8" s="31"/>
      <c r="D8" s="14"/>
      <c r="E8" s="15"/>
      <c r="F8" s="16"/>
      <c r="G8" s="75"/>
    </row>
    <row r="9" spans="1:8" x14ac:dyDescent="0.25">
      <c r="A9" s="76" t="s">
        <v>435</v>
      </c>
      <c r="B9" s="31"/>
      <c r="C9" s="31"/>
      <c r="D9" s="14"/>
      <c r="E9" s="15"/>
      <c r="F9" s="16"/>
      <c r="G9" s="75"/>
    </row>
    <row r="10" spans="1:8" x14ac:dyDescent="0.25">
      <c r="A10" s="74" t="s">
        <v>472</v>
      </c>
      <c r="B10" s="31" t="s">
        <v>473</v>
      </c>
      <c r="C10" s="31" t="s">
        <v>2027</v>
      </c>
      <c r="D10" s="14">
        <v>89207</v>
      </c>
      <c r="E10" s="15">
        <v>1701.04</v>
      </c>
      <c r="F10" s="16">
        <v>8.0600000000000005E-2</v>
      </c>
      <c r="G10" s="75"/>
    </row>
    <row r="11" spans="1:8" x14ac:dyDescent="0.25">
      <c r="A11" s="74" t="s">
        <v>622</v>
      </c>
      <c r="B11" s="31" t="s">
        <v>623</v>
      </c>
      <c r="C11" s="31" t="s">
        <v>465</v>
      </c>
      <c r="D11" s="14">
        <v>204025</v>
      </c>
      <c r="E11" s="15">
        <v>1489.99</v>
      </c>
      <c r="F11" s="16">
        <v>7.0599999999999996E-2</v>
      </c>
      <c r="G11" s="75"/>
    </row>
    <row r="12" spans="1:8" x14ac:dyDescent="0.25">
      <c r="A12" s="74" t="s">
        <v>549</v>
      </c>
      <c r="B12" s="31" t="s">
        <v>550</v>
      </c>
      <c r="C12" s="31" t="s">
        <v>465</v>
      </c>
      <c r="D12" s="14">
        <v>79939</v>
      </c>
      <c r="E12" s="15">
        <v>1175.3800000000001</v>
      </c>
      <c r="F12" s="16">
        <v>5.57E-2</v>
      </c>
      <c r="G12" s="75"/>
    </row>
    <row r="13" spans="1:8" x14ac:dyDescent="0.25">
      <c r="A13" s="74" t="s">
        <v>481</v>
      </c>
      <c r="B13" s="31" t="s">
        <v>482</v>
      </c>
      <c r="C13" s="31" t="s">
        <v>465</v>
      </c>
      <c r="D13" s="14">
        <v>130004</v>
      </c>
      <c r="E13" s="15">
        <v>989.53</v>
      </c>
      <c r="F13" s="16">
        <v>4.6899999999999997E-2</v>
      </c>
      <c r="G13" s="75"/>
    </row>
    <row r="14" spans="1:8" x14ac:dyDescent="0.25">
      <c r="A14" s="74" t="s">
        <v>438</v>
      </c>
      <c r="B14" s="31" t="s">
        <v>439</v>
      </c>
      <c r="C14" s="31" t="s">
        <v>440</v>
      </c>
      <c r="D14" s="14">
        <v>35159</v>
      </c>
      <c r="E14" s="15">
        <v>926.35</v>
      </c>
      <c r="F14" s="16">
        <v>4.3900000000000002E-2</v>
      </c>
      <c r="G14" s="75"/>
    </row>
    <row r="15" spans="1:8" x14ac:dyDescent="0.25">
      <c r="A15" s="74" t="s">
        <v>537</v>
      </c>
      <c r="B15" s="31" t="s">
        <v>538</v>
      </c>
      <c r="C15" s="31" t="s">
        <v>465</v>
      </c>
      <c r="D15" s="14">
        <v>178089</v>
      </c>
      <c r="E15" s="15">
        <v>878.96</v>
      </c>
      <c r="F15" s="16">
        <v>4.1700000000000001E-2</v>
      </c>
      <c r="G15" s="75"/>
    </row>
    <row r="16" spans="1:8" x14ac:dyDescent="0.25">
      <c r="A16" s="74" t="s">
        <v>492</v>
      </c>
      <c r="B16" s="31" t="s">
        <v>493</v>
      </c>
      <c r="C16" s="31" t="s">
        <v>2029</v>
      </c>
      <c r="D16" s="14">
        <v>42374</v>
      </c>
      <c r="E16" s="15">
        <v>749.02</v>
      </c>
      <c r="F16" s="16">
        <v>3.5499999999999997E-2</v>
      </c>
      <c r="G16" s="75"/>
    </row>
    <row r="17" spans="1:7" x14ac:dyDescent="0.25">
      <c r="A17" s="74" t="s">
        <v>1135</v>
      </c>
      <c r="B17" s="31" t="s">
        <v>1136</v>
      </c>
      <c r="C17" s="31" t="s">
        <v>615</v>
      </c>
      <c r="D17" s="14">
        <v>113405</v>
      </c>
      <c r="E17" s="15">
        <v>663.93</v>
      </c>
      <c r="F17" s="16">
        <v>3.15E-2</v>
      </c>
      <c r="G17" s="75"/>
    </row>
    <row r="18" spans="1:7" x14ac:dyDescent="0.25">
      <c r="A18" s="74" t="s">
        <v>441</v>
      </c>
      <c r="B18" s="31" t="s">
        <v>442</v>
      </c>
      <c r="C18" s="31" t="s">
        <v>443</v>
      </c>
      <c r="D18" s="14">
        <v>81926</v>
      </c>
      <c r="E18" s="15">
        <v>618.5</v>
      </c>
      <c r="F18" s="16">
        <v>2.93E-2</v>
      </c>
      <c r="G18" s="75"/>
    </row>
    <row r="19" spans="1:7" x14ac:dyDescent="0.25">
      <c r="A19" s="74" t="s">
        <v>448</v>
      </c>
      <c r="B19" s="31" t="s">
        <v>449</v>
      </c>
      <c r="C19" s="31" t="s">
        <v>450</v>
      </c>
      <c r="D19" s="14">
        <v>23236</v>
      </c>
      <c r="E19" s="15">
        <v>555.42999999999995</v>
      </c>
      <c r="F19" s="16">
        <v>2.63E-2</v>
      </c>
      <c r="G19" s="75"/>
    </row>
    <row r="20" spans="1:7" x14ac:dyDescent="0.25">
      <c r="A20" s="74" t="s">
        <v>702</v>
      </c>
      <c r="B20" s="31" t="s">
        <v>703</v>
      </c>
      <c r="C20" s="31" t="s">
        <v>2032</v>
      </c>
      <c r="D20" s="14">
        <v>104399</v>
      </c>
      <c r="E20" s="15">
        <v>452.83</v>
      </c>
      <c r="F20" s="16">
        <v>2.1499999999999998E-2</v>
      </c>
      <c r="G20" s="75"/>
    </row>
    <row r="21" spans="1:7" x14ac:dyDescent="0.25">
      <c r="A21" s="74" t="s">
        <v>1052</v>
      </c>
      <c r="B21" s="31" t="s">
        <v>1053</v>
      </c>
      <c r="C21" s="31" t="s">
        <v>2025</v>
      </c>
      <c r="D21" s="14">
        <v>46839</v>
      </c>
      <c r="E21" s="15">
        <v>436.68</v>
      </c>
      <c r="F21" s="16">
        <v>2.07E-2</v>
      </c>
      <c r="G21" s="75"/>
    </row>
    <row r="22" spans="1:7" x14ac:dyDescent="0.25">
      <c r="A22" s="74" t="s">
        <v>724</v>
      </c>
      <c r="B22" s="31" t="s">
        <v>725</v>
      </c>
      <c r="C22" s="31" t="s">
        <v>1429</v>
      </c>
      <c r="D22" s="14">
        <v>46689</v>
      </c>
      <c r="E22" s="15">
        <v>427.09</v>
      </c>
      <c r="F22" s="16">
        <v>2.0199999999999999E-2</v>
      </c>
      <c r="G22" s="75"/>
    </row>
    <row r="23" spans="1:7" x14ac:dyDescent="0.25">
      <c r="A23" s="74" t="s">
        <v>769</v>
      </c>
      <c r="B23" s="31" t="s">
        <v>770</v>
      </c>
      <c r="C23" s="31" t="s">
        <v>2033</v>
      </c>
      <c r="D23" s="14">
        <v>19228</v>
      </c>
      <c r="E23" s="15">
        <v>414.93</v>
      </c>
      <c r="F23" s="16">
        <v>1.9699999999999999E-2</v>
      </c>
      <c r="G23" s="75"/>
    </row>
    <row r="24" spans="1:7" x14ac:dyDescent="0.25">
      <c r="A24" s="74" t="s">
        <v>510</v>
      </c>
      <c r="B24" s="31" t="s">
        <v>511</v>
      </c>
      <c r="C24" s="31" t="s">
        <v>2027</v>
      </c>
      <c r="D24" s="14">
        <v>35200</v>
      </c>
      <c r="E24" s="15">
        <v>409.64</v>
      </c>
      <c r="F24" s="16">
        <v>1.9400000000000001E-2</v>
      </c>
      <c r="G24" s="75"/>
    </row>
    <row r="25" spans="1:7" x14ac:dyDescent="0.25">
      <c r="A25" s="74" t="s">
        <v>504</v>
      </c>
      <c r="B25" s="31" t="s">
        <v>505</v>
      </c>
      <c r="C25" s="31" t="s">
        <v>2028</v>
      </c>
      <c r="D25" s="14">
        <v>150932</v>
      </c>
      <c r="E25" s="15">
        <v>378.31</v>
      </c>
      <c r="F25" s="16">
        <v>1.7899999999999999E-2</v>
      </c>
      <c r="G25" s="75"/>
    </row>
    <row r="26" spans="1:7" x14ac:dyDescent="0.25">
      <c r="A26" s="74" t="s">
        <v>805</v>
      </c>
      <c r="B26" s="31" t="s">
        <v>806</v>
      </c>
      <c r="C26" s="31" t="s">
        <v>2027</v>
      </c>
      <c r="D26" s="14">
        <v>72370</v>
      </c>
      <c r="E26" s="15">
        <v>329.25</v>
      </c>
      <c r="F26" s="16">
        <v>1.5599999999999999E-2</v>
      </c>
      <c r="G26" s="75"/>
    </row>
    <row r="27" spans="1:7" x14ac:dyDescent="0.25">
      <c r="A27" s="74" t="s">
        <v>1034</v>
      </c>
      <c r="B27" s="31" t="s">
        <v>1035</v>
      </c>
      <c r="C27" s="31" t="s">
        <v>494</v>
      </c>
      <c r="D27" s="14">
        <v>61235</v>
      </c>
      <c r="E27" s="15">
        <v>316.49</v>
      </c>
      <c r="F27" s="16">
        <v>1.4999999999999999E-2</v>
      </c>
      <c r="G27" s="75"/>
    </row>
    <row r="28" spans="1:7" x14ac:dyDescent="0.25">
      <c r="A28" s="74" t="s">
        <v>657</v>
      </c>
      <c r="B28" s="31" t="s">
        <v>658</v>
      </c>
      <c r="C28" s="31" t="s">
        <v>480</v>
      </c>
      <c r="D28" s="14">
        <v>4514</v>
      </c>
      <c r="E28" s="15">
        <v>298.02999999999997</v>
      </c>
      <c r="F28" s="16">
        <v>1.41E-2</v>
      </c>
      <c r="G28" s="75"/>
    </row>
    <row r="29" spans="1:7" x14ac:dyDescent="0.25">
      <c r="A29" s="74" t="s">
        <v>527</v>
      </c>
      <c r="B29" s="31" t="s">
        <v>528</v>
      </c>
      <c r="C29" s="31" t="s">
        <v>2030</v>
      </c>
      <c r="D29" s="14">
        <v>10855</v>
      </c>
      <c r="E29" s="15">
        <v>290.83999999999997</v>
      </c>
      <c r="F29" s="16">
        <v>1.38E-2</v>
      </c>
      <c r="G29" s="75"/>
    </row>
    <row r="30" spans="1:7" x14ac:dyDescent="0.25">
      <c r="A30" s="74" t="s">
        <v>1115</v>
      </c>
      <c r="B30" s="31" t="s">
        <v>1116</v>
      </c>
      <c r="C30" s="31" t="s">
        <v>615</v>
      </c>
      <c r="D30" s="14">
        <v>40131</v>
      </c>
      <c r="E30" s="15">
        <v>287.45999999999998</v>
      </c>
      <c r="F30" s="16">
        <v>1.3599999999999999E-2</v>
      </c>
      <c r="G30" s="75"/>
    </row>
    <row r="31" spans="1:7" x14ac:dyDescent="0.25">
      <c r="A31" s="74" t="s">
        <v>561</v>
      </c>
      <c r="B31" s="31" t="s">
        <v>562</v>
      </c>
      <c r="C31" s="31" t="s">
        <v>487</v>
      </c>
      <c r="D31" s="14">
        <v>24716</v>
      </c>
      <c r="E31" s="15">
        <v>277.18</v>
      </c>
      <c r="F31" s="16">
        <v>1.3100000000000001E-2</v>
      </c>
      <c r="G31" s="75"/>
    </row>
    <row r="32" spans="1:7" x14ac:dyDescent="0.25">
      <c r="A32" s="74" t="s">
        <v>675</v>
      </c>
      <c r="B32" s="31" t="s">
        <v>676</v>
      </c>
      <c r="C32" s="31" t="s">
        <v>677</v>
      </c>
      <c r="D32" s="14">
        <v>20113</v>
      </c>
      <c r="E32" s="15">
        <v>256.54000000000002</v>
      </c>
      <c r="F32" s="16">
        <v>1.2200000000000001E-2</v>
      </c>
      <c r="G32" s="75"/>
    </row>
    <row r="33" spans="1:7" x14ac:dyDescent="0.25">
      <c r="A33" s="74" t="s">
        <v>1117</v>
      </c>
      <c r="B33" s="31" t="s">
        <v>1118</v>
      </c>
      <c r="C33" s="31" t="s">
        <v>2033</v>
      </c>
      <c r="D33" s="14">
        <v>63982</v>
      </c>
      <c r="E33" s="15">
        <v>254.94</v>
      </c>
      <c r="F33" s="16">
        <v>1.21E-2</v>
      </c>
      <c r="G33" s="75"/>
    </row>
    <row r="34" spans="1:7" x14ac:dyDescent="0.25">
      <c r="A34" s="74" t="s">
        <v>631</v>
      </c>
      <c r="B34" s="31" t="s">
        <v>632</v>
      </c>
      <c r="C34" s="31" t="s">
        <v>2027</v>
      </c>
      <c r="D34" s="14">
        <v>7014</v>
      </c>
      <c r="E34" s="15">
        <v>236.85</v>
      </c>
      <c r="F34" s="16">
        <v>1.12E-2</v>
      </c>
      <c r="G34" s="75"/>
    </row>
    <row r="35" spans="1:7" x14ac:dyDescent="0.25">
      <c r="A35" s="74" t="s">
        <v>1111</v>
      </c>
      <c r="B35" s="31" t="s">
        <v>1112</v>
      </c>
      <c r="C35" s="31" t="s">
        <v>573</v>
      </c>
      <c r="D35" s="14">
        <v>67670</v>
      </c>
      <c r="E35" s="15">
        <v>235.25</v>
      </c>
      <c r="F35" s="16">
        <v>1.11E-2</v>
      </c>
      <c r="G35" s="75"/>
    </row>
    <row r="36" spans="1:7" x14ac:dyDescent="0.25">
      <c r="A36" s="74" t="s">
        <v>490</v>
      </c>
      <c r="B36" s="31" t="s">
        <v>491</v>
      </c>
      <c r="C36" s="31" t="s">
        <v>450</v>
      </c>
      <c r="D36" s="14">
        <v>3168</v>
      </c>
      <c r="E36" s="15">
        <v>230</v>
      </c>
      <c r="F36" s="16">
        <v>1.09E-2</v>
      </c>
      <c r="G36" s="75"/>
    </row>
    <row r="37" spans="1:7" x14ac:dyDescent="0.25">
      <c r="A37" s="74" t="s">
        <v>1119</v>
      </c>
      <c r="B37" s="31" t="s">
        <v>1120</v>
      </c>
      <c r="C37" s="31" t="s">
        <v>2033</v>
      </c>
      <c r="D37" s="14">
        <v>4951</v>
      </c>
      <c r="E37" s="15">
        <v>225.55</v>
      </c>
      <c r="F37" s="16">
        <v>1.0699999999999999E-2</v>
      </c>
      <c r="G37" s="75"/>
    </row>
    <row r="38" spans="1:7" x14ac:dyDescent="0.25">
      <c r="A38" s="74" t="s">
        <v>1137</v>
      </c>
      <c r="B38" s="31" t="s">
        <v>1138</v>
      </c>
      <c r="C38" s="31" t="s">
        <v>450</v>
      </c>
      <c r="D38" s="14">
        <v>25995</v>
      </c>
      <c r="E38" s="15">
        <v>220.88</v>
      </c>
      <c r="F38" s="16">
        <v>1.0500000000000001E-2</v>
      </c>
      <c r="G38" s="75"/>
    </row>
    <row r="39" spans="1:7" x14ac:dyDescent="0.25">
      <c r="A39" s="74" t="s">
        <v>643</v>
      </c>
      <c r="B39" s="31" t="s">
        <v>644</v>
      </c>
      <c r="C39" s="31" t="s">
        <v>450</v>
      </c>
      <c r="D39" s="14">
        <v>34010</v>
      </c>
      <c r="E39" s="15">
        <v>214.76</v>
      </c>
      <c r="F39" s="16">
        <v>1.0200000000000001E-2</v>
      </c>
      <c r="G39" s="75"/>
    </row>
    <row r="40" spans="1:7" x14ac:dyDescent="0.25">
      <c r="A40" s="74" t="s">
        <v>1103</v>
      </c>
      <c r="B40" s="31" t="s">
        <v>1104</v>
      </c>
      <c r="C40" s="31" t="s">
        <v>2028</v>
      </c>
      <c r="D40" s="14">
        <v>47873</v>
      </c>
      <c r="E40" s="15">
        <v>214.06</v>
      </c>
      <c r="F40" s="16">
        <v>1.01E-2</v>
      </c>
      <c r="G40" s="75"/>
    </row>
    <row r="41" spans="1:7" x14ac:dyDescent="0.25">
      <c r="A41" s="74" t="s">
        <v>745</v>
      </c>
      <c r="B41" s="31" t="s">
        <v>746</v>
      </c>
      <c r="C41" s="31" t="s">
        <v>615</v>
      </c>
      <c r="D41" s="14">
        <v>56496</v>
      </c>
      <c r="E41" s="15">
        <v>211.3</v>
      </c>
      <c r="F41" s="16">
        <v>0.01</v>
      </c>
      <c r="G41" s="75"/>
    </row>
    <row r="42" spans="1:7" x14ac:dyDescent="0.25">
      <c r="A42" s="74" t="s">
        <v>584</v>
      </c>
      <c r="B42" s="31" t="s">
        <v>585</v>
      </c>
      <c r="C42" s="31" t="s">
        <v>2027</v>
      </c>
      <c r="D42" s="14">
        <v>5635</v>
      </c>
      <c r="E42" s="15">
        <v>210.75</v>
      </c>
      <c r="F42" s="16">
        <v>0.01</v>
      </c>
      <c r="G42" s="75"/>
    </row>
    <row r="43" spans="1:7" x14ac:dyDescent="0.25">
      <c r="A43" s="74" t="s">
        <v>801</v>
      </c>
      <c r="B43" s="31" t="s">
        <v>802</v>
      </c>
      <c r="C43" s="31" t="s">
        <v>2030</v>
      </c>
      <c r="D43" s="14">
        <v>5085</v>
      </c>
      <c r="E43" s="15">
        <v>207.58</v>
      </c>
      <c r="F43" s="16">
        <v>9.7999999999999997E-3</v>
      </c>
      <c r="G43" s="75"/>
    </row>
    <row r="44" spans="1:7" x14ac:dyDescent="0.25">
      <c r="A44" s="74" t="s">
        <v>582</v>
      </c>
      <c r="B44" s="31" t="s">
        <v>583</v>
      </c>
      <c r="C44" s="31" t="s">
        <v>2032</v>
      </c>
      <c r="D44" s="14">
        <v>2744</v>
      </c>
      <c r="E44" s="15">
        <v>207.48</v>
      </c>
      <c r="F44" s="16">
        <v>9.7999999999999997E-3</v>
      </c>
      <c r="G44" s="75"/>
    </row>
    <row r="45" spans="1:7" x14ac:dyDescent="0.25">
      <c r="A45" s="74" t="s">
        <v>1025</v>
      </c>
      <c r="B45" s="31" t="s">
        <v>1026</v>
      </c>
      <c r="C45" s="31" t="s">
        <v>450</v>
      </c>
      <c r="D45" s="14">
        <v>191095</v>
      </c>
      <c r="E45" s="15">
        <v>203.52</v>
      </c>
      <c r="F45" s="16">
        <v>9.5999999999999992E-3</v>
      </c>
      <c r="G45" s="75"/>
    </row>
    <row r="46" spans="1:7" x14ac:dyDescent="0.25">
      <c r="A46" s="74" t="s">
        <v>1121</v>
      </c>
      <c r="B46" s="31" t="s">
        <v>1122</v>
      </c>
      <c r="C46" s="31" t="s">
        <v>615</v>
      </c>
      <c r="D46" s="14">
        <v>4594</v>
      </c>
      <c r="E46" s="15">
        <v>197.95</v>
      </c>
      <c r="F46" s="16">
        <v>9.4000000000000004E-3</v>
      </c>
      <c r="G46" s="75"/>
    </row>
    <row r="47" spans="1:7" x14ac:dyDescent="0.25">
      <c r="A47" s="74" t="s">
        <v>483</v>
      </c>
      <c r="B47" s="31" t="s">
        <v>484</v>
      </c>
      <c r="C47" s="31" t="s">
        <v>2028</v>
      </c>
      <c r="D47" s="14">
        <v>9298</v>
      </c>
      <c r="E47" s="15">
        <v>190.48</v>
      </c>
      <c r="F47" s="16">
        <v>8.9999999999999993E-3</v>
      </c>
      <c r="G47" s="75"/>
    </row>
    <row r="48" spans="1:7" x14ac:dyDescent="0.25">
      <c r="A48" s="74" t="s">
        <v>718</v>
      </c>
      <c r="B48" s="31" t="s">
        <v>719</v>
      </c>
      <c r="C48" s="31" t="s">
        <v>2034</v>
      </c>
      <c r="D48" s="14">
        <v>44909</v>
      </c>
      <c r="E48" s="15">
        <v>189.56</v>
      </c>
      <c r="F48" s="16">
        <v>8.9999999999999993E-3</v>
      </c>
      <c r="G48" s="75"/>
    </row>
    <row r="49" spans="1:7" x14ac:dyDescent="0.25">
      <c r="A49" s="74" t="s">
        <v>696</v>
      </c>
      <c r="B49" s="31" t="s">
        <v>697</v>
      </c>
      <c r="C49" s="31" t="s">
        <v>2032</v>
      </c>
      <c r="D49" s="14">
        <v>159947</v>
      </c>
      <c r="E49" s="15">
        <v>187.54</v>
      </c>
      <c r="F49" s="16">
        <v>8.8999999999999999E-3</v>
      </c>
      <c r="G49" s="75"/>
    </row>
    <row r="50" spans="1:7" x14ac:dyDescent="0.25">
      <c r="A50" s="74" t="s">
        <v>1056</v>
      </c>
      <c r="B50" s="31" t="s">
        <v>1057</v>
      </c>
      <c r="C50" s="31" t="s">
        <v>494</v>
      </c>
      <c r="D50" s="14">
        <v>65520</v>
      </c>
      <c r="E50" s="15">
        <v>186.18</v>
      </c>
      <c r="F50" s="16">
        <v>8.8000000000000005E-3</v>
      </c>
      <c r="G50" s="75"/>
    </row>
    <row r="51" spans="1:7" x14ac:dyDescent="0.25">
      <c r="A51" s="74" t="s">
        <v>690</v>
      </c>
      <c r="B51" s="31" t="s">
        <v>691</v>
      </c>
      <c r="C51" s="31" t="s">
        <v>1429</v>
      </c>
      <c r="D51" s="14">
        <v>4279</v>
      </c>
      <c r="E51" s="15">
        <v>183.8</v>
      </c>
      <c r="F51" s="16">
        <v>8.6999999999999994E-3</v>
      </c>
      <c r="G51" s="75"/>
    </row>
    <row r="52" spans="1:7" x14ac:dyDescent="0.25">
      <c r="A52" s="74" t="s">
        <v>761</v>
      </c>
      <c r="B52" s="31" t="s">
        <v>762</v>
      </c>
      <c r="C52" s="31" t="s">
        <v>2030</v>
      </c>
      <c r="D52" s="14">
        <v>18690</v>
      </c>
      <c r="E52" s="15">
        <v>178.8</v>
      </c>
      <c r="F52" s="16">
        <v>8.5000000000000006E-3</v>
      </c>
      <c r="G52" s="75"/>
    </row>
    <row r="53" spans="1:7" x14ac:dyDescent="0.25">
      <c r="A53" s="74" t="s">
        <v>508</v>
      </c>
      <c r="B53" s="31" t="s">
        <v>509</v>
      </c>
      <c r="C53" s="31" t="s">
        <v>462</v>
      </c>
      <c r="D53" s="14">
        <v>30387</v>
      </c>
      <c r="E53" s="15">
        <v>173.05</v>
      </c>
      <c r="F53" s="16">
        <v>8.2000000000000007E-3</v>
      </c>
      <c r="G53" s="75"/>
    </row>
    <row r="54" spans="1:7" x14ac:dyDescent="0.25">
      <c r="A54" s="74" t="s">
        <v>1139</v>
      </c>
      <c r="B54" s="31" t="s">
        <v>1140</v>
      </c>
      <c r="C54" s="31" t="s">
        <v>456</v>
      </c>
      <c r="D54" s="14">
        <v>6457</v>
      </c>
      <c r="E54" s="15">
        <v>167.45</v>
      </c>
      <c r="F54" s="16">
        <v>7.9000000000000008E-3</v>
      </c>
      <c r="G54" s="75"/>
    </row>
    <row r="55" spans="1:7" x14ac:dyDescent="0.25">
      <c r="A55" s="74" t="s">
        <v>755</v>
      </c>
      <c r="B55" s="31" t="s">
        <v>756</v>
      </c>
      <c r="C55" s="31" t="s">
        <v>480</v>
      </c>
      <c r="D55" s="14">
        <v>6315</v>
      </c>
      <c r="E55" s="15">
        <v>153.54</v>
      </c>
      <c r="F55" s="16">
        <v>7.3000000000000001E-3</v>
      </c>
      <c r="G55" s="75"/>
    </row>
    <row r="56" spans="1:7" x14ac:dyDescent="0.25">
      <c r="A56" s="74" t="s">
        <v>653</v>
      </c>
      <c r="B56" s="31" t="s">
        <v>654</v>
      </c>
      <c r="C56" s="31" t="s">
        <v>2027</v>
      </c>
      <c r="D56" s="14">
        <v>10078</v>
      </c>
      <c r="E56" s="15">
        <v>151.11000000000001</v>
      </c>
      <c r="F56" s="16">
        <v>7.1999999999999998E-3</v>
      </c>
      <c r="G56" s="75"/>
    </row>
    <row r="57" spans="1:7" x14ac:dyDescent="0.25">
      <c r="A57" s="74" t="s">
        <v>783</v>
      </c>
      <c r="B57" s="31" t="s">
        <v>784</v>
      </c>
      <c r="C57" s="31" t="s">
        <v>626</v>
      </c>
      <c r="D57" s="14">
        <v>29260</v>
      </c>
      <c r="E57" s="15">
        <v>147.25</v>
      </c>
      <c r="F57" s="16">
        <v>7.0000000000000001E-3</v>
      </c>
      <c r="G57" s="75"/>
    </row>
    <row r="58" spans="1:7" x14ac:dyDescent="0.25">
      <c r="A58" s="74" t="s">
        <v>553</v>
      </c>
      <c r="B58" s="31" t="s">
        <v>554</v>
      </c>
      <c r="C58" s="31" t="s">
        <v>1429</v>
      </c>
      <c r="D58" s="14">
        <v>13892</v>
      </c>
      <c r="E58" s="15">
        <v>141.43</v>
      </c>
      <c r="F58" s="16">
        <v>6.7000000000000002E-3</v>
      </c>
      <c r="G58" s="75"/>
    </row>
    <row r="59" spans="1:7" x14ac:dyDescent="0.25">
      <c r="A59" s="74" t="s">
        <v>777</v>
      </c>
      <c r="B59" s="31" t="s">
        <v>778</v>
      </c>
      <c r="C59" s="31" t="s">
        <v>1429</v>
      </c>
      <c r="D59" s="14">
        <v>3155</v>
      </c>
      <c r="E59" s="15">
        <v>138.88</v>
      </c>
      <c r="F59" s="16">
        <v>6.6E-3</v>
      </c>
      <c r="G59" s="75"/>
    </row>
    <row r="60" spans="1:7" x14ac:dyDescent="0.25">
      <c r="A60" s="74" t="s">
        <v>1131</v>
      </c>
      <c r="B60" s="31" t="s">
        <v>1132</v>
      </c>
      <c r="C60" s="31" t="s">
        <v>2033</v>
      </c>
      <c r="D60" s="14">
        <v>320</v>
      </c>
      <c r="E60" s="15">
        <v>126.97</v>
      </c>
      <c r="F60" s="16">
        <v>6.0000000000000001E-3</v>
      </c>
      <c r="G60" s="75"/>
    </row>
    <row r="61" spans="1:7" x14ac:dyDescent="0.25">
      <c r="A61" s="74" t="s">
        <v>1141</v>
      </c>
      <c r="B61" s="31" t="s">
        <v>1142</v>
      </c>
      <c r="C61" s="31" t="s">
        <v>480</v>
      </c>
      <c r="D61" s="14">
        <v>25837</v>
      </c>
      <c r="E61" s="15">
        <v>122.69</v>
      </c>
      <c r="F61" s="16">
        <v>5.7999999999999996E-3</v>
      </c>
      <c r="G61" s="75"/>
    </row>
    <row r="62" spans="1:7" x14ac:dyDescent="0.25">
      <c r="A62" s="74" t="s">
        <v>1113</v>
      </c>
      <c r="B62" s="31" t="s">
        <v>1114</v>
      </c>
      <c r="C62" s="31" t="s">
        <v>558</v>
      </c>
      <c r="D62" s="14">
        <v>10547</v>
      </c>
      <c r="E62" s="15">
        <v>118.26</v>
      </c>
      <c r="F62" s="16">
        <v>5.5999999999999999E-3</v>
      </c>
      <c r="G62" s="75"/>
    </row>
    <row r="63" spans="1:7" x14ac:dyDescent="0.25">
      <c r="A63" s="74" t="s">
        <v>1062</v>
      </c>
      <c r="B63" s="31" t="s">
        <v>1063</v>
      </c>
      <c r="C63" s="31" t="s">
        <v>2025</v>
      </c>
      <c r="D63" s="14">
        <v>175723</v>
      </c>
      <c r="E63" s="15">
        <v>113.25</v>
      </c>
      <c r="F63" s="16">
        <v>5.4000000000000003E-3</v>
      </c>
      <c r="G63" s="75"/>
    </row>
    <row r="64" spans="1:7" x14ac:dyDescent="0.25">
      <c r="A64" s="74" t="s">
        <v>1125</v>
      </c>
      <c r="B64" s="31" t="s">
        <v>1126</v>
      </c>
      <c r="C64" s="31" t="s">
        <v>2024</v>
      </c>
      <c r="D64" s="14">
        <v>21962</v>
      </c>
      <c r="E64" s="15">
        <v>110.82</v>
      </c>
      <c r="F64" s="16">
        <v>5.3E-3</v>
      </c>
      <c r="G64" s="75"/>
    </row>
    <row r="65" spans="1:7" x14ac:dyDescent="0.25">
      <c r="A65" s="74" t="s">
        <v>1129</v>
      </c>
      <c r="B65" s="31" t="s">
        <v>1130</v>
      </c>
      <c r="C65" s="31" t="s">
        <v>456</v>
      </c>
      <c r="D65" s="14">
        <v>11784</v>
      </c>
      <c r="E65" s="15">
        <v>107.78</v>
      </c>
      <c r="F65" s="16">
        <v>5.1000000000000004E-3</v>
      </c>
      <c r="G65" s="75"/>
    </row>
    <row r="66" spans="1:7" x14ac:dyDescent="0.25">
      <c r="A66" s="74" t="s">
        <v>669</v>
      </c>
      <c r="B66" s="31" t="s">
        <v>670</v>
      </c>
      <c r="C66" s="31" t="s">
        <v>450</v>
      </c>
      <c r="D66" s="14">
        <v>14742</v>
      </c>
      <c r="E66" s="15">
        <v>105.91</v>
      </c>
      <c r="F66" s="16">
        <v>5.0000000000000001E-3</v>
      </c>
      <c r="G66" s="75"/>
    </row>
    <row r="67" spans="1:7" x14ac:dyDescent="0.25">
      <c r="A67" s="74" t="s">
        <v>441</v>
      </c>
      <c r="B67" s="31" t="s">
        <v>1066</v>
      </c>
      <c r="C67" s="31" t="s">
        <v>443</v>
      </c>
      <c r="D67" s="14">
        <v>5851</v>
      </c>
      <c r="E67" s="15">
        <v>23.17</v>
      </c>
      <c r="F67" s="16">
        <v>1.1000000000000001E-3</v>
      </c>
      <c r="G67" s="75"/>
    </row>
    <row r="68" spans="1:7" x14ac:dyDescent="0.25">
      <c r="A68" s="76" t="s">
        <v>90</v>
      </c>
      <c r="B68" s="32"/>
      <c r="C68" s="32"/>
      <c r="D68" s="18"/>
      <c r="E68" s="35">
        <v>20412.189999999999</v>
      </c>
      <c r="F68" s="36">
        <v>0.96730000000000005</v>
      </c>
      <c r="G68" s="77"/>
    </row>
    <row r="69" spans="1:7" x14ac:dyDescent="0.25">
      <c r="A69" s="76" t="s">
        <v>815</v>
      </c>
      <c r="B69" s="31"/>
      <c r="C69" s="31"/>
      <c r="D69" s="14"/>
      <c r="E69" s="15"/>
      <c r="F69" s="16"/>
      <c r="G69" s="75"/>
    </row>
    <row r="70" spans="1:7" x14ac:dyDescent="0.25">
      <c r="A70" s="76" t="s">
        <v>90</v>
      </c>
      <c r="B70" s="31"/>
      <c r="C70" s="31"/>
      <c r="D70" s="14"/>
      <c r="E70" s="37" t="s">
        <v>85</v>
      </c>
      <c r="F70" s="38" t="s">
        <v>85</v>
      </c>
      <c r="G70" s="75"/>
    </row>
    <row r="71" spans="1:7" x14ac:dyDescent="0.25">
      <c r="A71" s="78" t="s">
        <v>93</v>
      </c>
      <c r="B71" s="79"/>
      <c r="C71" s="79"/>
      <c r="D71" s="80"/>
      <c r="E71" s="28">
        <v>20412.189999999999</v>
      </c>
      <c r="F71" s="29">
        <v>0.96730000000000005</v>
      </c>
      <c r="G71" s="77"/>
    </row>
    <row r="72" spans="1:7" x14ac:dyDescent="0.25">
      <c r="A72" s="74"/>
      <c r="B72" s="31"/>
      <c r="C72" s="31"/>
      <c r="D72" s="14"/>
      <c r="E72" s="15"/>
      <c r="F72" s="16"/>
      <c r="G72" s="75"/>
    </row>
    <row r="73" spans="1:7" x14ac:dyDescent="0.25">
      <c r="A73" s="74"/>
      <c r="B73" s="31"/>
      <c r="C73" s="31"/>
      <c r="D73" s="14"/>
      <c r="E73" s="15"/>
      <c r="F73" s="16"/>
      <c r="G73" s="75"/>
    </row>
    <row r="74" spans="1:7" x14ac:dyDescent="0.25">
      <c r="A74" s="76" t="s">
        <v>110</v>
      </c>
      <c r="B74" s="31"/>
      <c r="C74" s="31"/>
      <c r="D74" s="14"/>
      <c r="E74" s="15"/>
      <c r="F74" s="16"/>
      <c r="G74" s="75"/>
    </row>
    <row r="75" spans="1:7" x14ac:dyDescent="0.25">
      <c r="A75" s="74" t="s">
        <v>111</v>
      </c>
      <c r="B75" s="31"/>
      <c r="C75" s="31"/>
      <c r="D75" s="14"/>
      <c r="E75" s="15">
        <v>639.75</v>
      </c>
      <c r="F75" s="16">
        <v>3.0300000000000001E-2</v>
      </c>
      <c r="G75" s="75">
        <v>3.5790000000000002E-2</v>
      </c>
    </row>
    <row r="76" spans="1:7" x14ac:dyDescent="0.25">
      <c r="A76" s="76" t="s">
        <v>90</v>
      </c>
      <c r="B76" s="32"/>
      <c r="C76" s="32"/>
      <c r="D76" s="18"/>
      <c r="E76" s="35">
        <v>639.75</v>
      </c>
      <c r="F76" s="36">
        <v>3.0300000000000001E-2</v>
      </c>
      <c r="G76" s="77"/>
    </row>
    <row r="77" spans="1:7" x14ac:dyDescent="0.25">
      <c r="A77" s="74"/>
      <c r="B77" s="31"/>
      <c r="C77" s="31"/>
      <c r="D77" s="14"/>
      <c r="E77" s="15"/>
      <c r="F77" s="16"/>
      <c r="G77" s="75"/>
    </row>
    <row r="78" spans="1:7" x14ac:dyDescent="0.25">
      <c r="A78" s="78" t="s">
        <v>93</v>
      </c>
      <c r="B78" s="79"/>
      <c r="C78" s="79"/>
      <c r="D78" s="80"/>
      <c r="E78" s="35">
        <v>639.75</v>
      </c>
      <c r="F78" s="36">
        <v>3.0300000000000001E-2</v>
      </c>
      <c r="G78" s="77"/>
    </row>
    <row r="79" spans="1:7" x14ac:dyDescent="0.25">
      <c r="A79" s="74" t="s">
        <v>112</v>
      </c>
      <c r="B79" s="31"/>
      <c r="C79" s="31"/>
      <c r="D79" s="14"/>
      <c r="E79" s="15">
        <v>6.2730499999999995E-2</v>
      </c>
      <c r="F79" s="53" t="s">
        <v>2022</v>
      </c>
      <c r="G79" s="75"/>
    </row>
    <row r="80" spans="1:7" x14ac:dyDescent="0.25">
      <c r="A80" s="74" t="s">
        <v>113</v>
      </c>
      <c r="B80" s="31"/>
      <c r="C80" s="31"/>
      <c r="D80" s="14"/>
      <c r="E80" s="15">
        <v>50.387269500000002</v>
      </c>
      <c r="F80" s="16">
        <v>2.398E-3</v>
      </c>
      <c r="G80" s="75">
        <v>3.5790000000000002E-2</v>
      </c>
    </row>
    <row r="81" spans="1:7" x14ac:dyDescent="0.25">
      <c r="A81" s="81" t="s">
        <v>114</v>
      </c>
      <c r="B81" s="34"/>
      <c r="C81" s="34"/>
      <c r="D81" s="27"/>
      <c r="E81" s="28">
        <v>21102.39</v>
      </c>
      <c r="F81" s="29">
        <v>1</v>
      </c>
      <c r="G81" s="82"/>
    </row>
    <row r="82" spans="1:7" x14ac:dyDescent="0.25">
      <c r="A82" s="54"/>
      <c r="B82" s="56"/>
      <c r="C82" s="56"/>
      <c r="D82" s="56"/>
      <c r="E82" s="56"/>
      <c r="F82" s="56"/>
      <c r="G82" s="66"/>
    </row>
    <row r="83" spans="1:7" x14ac:dyDescent="0.25">
      <c r="A83" s="83" t="s">
        <v>2023</v>
      </c>
      <c r="B83" s="56"/>
      <c r="C83" s="56"/>
      <c r="D83" s="56"/>
      <c r="E83" s="56"/>
      <c r="F83" s="56"/>
      <c r="G83" s="66"/>
    </row>
    <row r="84" spans="1:7" x14ac:dyDescent="0.25">
      <c r="A84" s="54"/>
      <c r="B84" s="56"/>
      <c r="C84" s="56"/>
      <c r="D84" s="56"/>
      <c r="E84" s="56"/>
      <c r="F84" s="56"/>
      <c r="G84" s="66"/>
    </row>
    <row r="85" spans="1:7" x14ac:dyDescent="0.25">
      <c r="A85" s="83" t="s">
        <v>1476</v>
      </c>
      <c r="B85" s="56"/>
      <c r="C85" s="56"/>
      <c r="D85" s="56"/>
      <c r="E85" s="56"/>
      <c r="F85" s="56"/>
      <c r="G85" s="66"/>
    </row>
    <row r="86" spans="1:7" x14ac:dyDescent="0.25">
      <c r="A86" s="84" t="s">
        <v>1477</v>
      </c>
      <c r="B86" s="85" t="s">
        <v>85</v>
      </c>
      <c r="C86" s="56"/>
      <c r="D86" s="56"/>
      <c r="E86" s="56"/>
      <c r="F86" s="56"/>
      <c r="G86" s="66"/>
    </row>
    <row r="87" spans="1:7" x14ac:dyDescent="0.25">
      <c r="A87" s="54" t="s">
        <v>1626</v>
      </c>
      <c r="B87" s="56"/>
      <c r="C87" s="56"/>
      <c r="D87" s="56"/>
      <c r="E87" s="56"/>
      <c r="F87" s="56"/>
      <c r="G87" s="66"/>
    </row>
    <row r="88" spans="1:7" x14ac:dyDescent="0.25">
      <c r="A88" s="54" t="s">
        <v>1478</v>
      </c>
      <c r="B88" s="85" t="s">
        <v>1479</v>
      </c>
      <c r="C88" s="85" t="s">
        <v>1479</v>
      </c>
      <c r="D88" s="56"/>
      <c r="E88" s="56"/>
      <c r="F88" s="56"/>
      <c r="G88" s="66"/>
    </row>
    <row r="89" spans="1:7" x14ac:dyDescent="0.25">
      <c r="A89" s="54"/>
      <c r="B89" s="86">
        <v>44469</v>
      </c>
      <c r="C89" s="86">
        <v>44651</v>
      </c>
      <c r="D89" s="56"/>
      <c r="E89" s="56"/>
      <c r="F89" s="56"/>
      <c r="G89" s="66"/>
    </row>
    <row r="90" spans="1:7" x14ac:dyDescent="0.25">
      <c r="A90" s="54" t="s">
        <v>1483</v>
      </c>
      <c r="B90" s="56">
        <v>77.97</v>
      </c>
      <c r="C90" s="56">
        <v>79.09</v>
      </c>
      <c r="D90" s="56"/>
      <c r="E90" s="59"/>
      <c r="F90" s="56"/>
      <c r="G90" s="87"/>
    </row>
    <row r="91" spans="1:7" x14ac:dyDescent="0.25">
      <c r="A91" s="54" t="s">
        <v>1484</v>
      </c>
      <c r="B91" s="56">
        <v>28.52</v>
      </c>
      <c r="C91" s="56">
        <v>28.32</v>
      </c>
      <c r="D91" s="56"/>
      <c r="E91" s="59"/>
      <c r="F91" s="56"/>
      <c r="G91" s="87"/>
    </row>
    <row r="92" spans="1:7" x14ac:dyDescent="0.25">
      <c r="A92" s="54" t="s">
        <v>1503</v>
      </c>
      <c r="B92" s="56">
        <v>70.25</v>
      </c>
      <c r="C92" s="56">
        <v>70.66</v>
      </c>
      <c r="D92" s="56"/>
      <c r="E92" s="59"/>
      <c r="F92" s="56"/>
      <c r="G92" s="87"/>
    </row>
    <row r="93" spans="1:7" x14ac:dyDescent="0.25">
      <c r="A93" s="54" t="s">
        <v>1504</v>
      </c>
      <c r="B93" s="102">
        <v>21</v>
      </c>
      <c r="C93" s="56">
        <v>20.52</v>
      </c>
      <c r="D93" s="56"/>
      <c r="E93" s="59"/>
      <c r="F93" s="56"/>
      <c r="G93" s="87"/>
    </row>
    <row r="94" spans="1:7" x14ac:dyDescent="0.25">
      <c r="A94" s="54"/>
      <c r="B94" s="56"/>
      <c r="C94" s="56"/>
      <c r="D94" s="56"/>
      <c r="E94" s="59"/>
      <c r="F94" s="56"/>
      <c r="G94" s="87"/>
    </row>
    <row r="95" spans="1:7" x14ac:dyDescent="0.25">
      <c r="A95" s="54" t="s">
        <v>2007</v>
      </c>
      <c r="B95" s="56"/>
      <c r="C95" s="56"/>
      <c r="D95" s="56"/>
      <c r="E95" s="56"/>
      <c r="F95" s="56"/>
      <c r="G95" s="66"/>
    </row>
    <row r="96" spans="1:7" x14ac:dyDescent="0.25">
      <c r="A96" s="54"/>
      <c r="B96" s="56"/>
      <c r="C96" s="56"/>
      <c r="D96" s="56"/>
      <c r="E96" s="56"/>
      <c r="F96" s="56"/>
      <c r="G96" s="66"/>
    </row>
    <row r="97" spans="1:7" x14ac:dyDescent="0.25">
      <c r="A97" s="93" t="s">
        <v>1507</v>
      </c>
      <c r="B97" s="94" t="s">
        <v>1508</v>
      </c>
      <c r="C97" s="95" t="s">
        <v>2018</v>
      </c>
      <c r="D97" s="95" t="s">
        <v>2019</v>
      </c>
      <c r="E97" s="56"/>
      <c r="F97" s="56"/>
      <c r="G97" s="66"/>
    </row>
    <row r="98" spans="1:7" x14ac:dyDescent="0.25">
      <c r="A98" s="96" t="s">
        <v>1515</v>
      </c>
      <c r="B98" s="97"/>
      <c r="C98" s="97">
        <v>0.6</v>
      </c>
      <c r="D98" s="97">
        <v>0.6</v>
      </c>
      <c r="E98" s="56"/>
      <c r="F98" s="56"/>
      <c r="G98" s="66"/>
    </row>
    <row r="99" spans="1:7" x14ac:dyDescent="0.25">
      <c r="A99" s="96" t="s">
        <v>1540</v>
      </c>
      <c r="B99" s="97"/>
      <c r="C99" s="97">
        <v>0.6</v>
      </c>
      <c r="D99" s="97">
        <v>0.6</v>
      </c>
      <c r="E99" s="56"/>
      <c r="F99" s="56"/>
      <c r="G99" s="66"/>
    </row>
    <row r="100" spans="1:7" x14ac:dyDescent="0.25">
      <c r="A100" s="54"/>
      <c r="B100" s="56"/>
      <c r="C100" s="56"/>
      <c r="D100" s="56"/>
      <c r="E100" s="56"/>
      <c r="F100" s="56"/>
      <c r="G100" s="66"/>
    </row>
    <row r="101" spans="1:7" x14ac:dyDescent="0.25">
      <c r="A101" s="54" t="s">
        <v>2008</v>
      </c>
      <c r="B101" s="85" t="s">
        <v>85</v>
      </c>
      <c r="C101" s="56"/>
      <c r="D101" s="56"/>
      <c r="E101" s="56"/>
      <c r="F101" s="56"/>
      <c r="G101" s="66"/>
    </row>
    <row r="102" spans="1:7" ht="19.5" customHeight="1" x14ac:dyDescent="0.25">
      <c r="A102" s="84" t="s">
        <v>2009</v>
      </c>
      <c r="B102" s="85" t="s">
        <v>85</v>
      </c>
      <c r="C102" s="56"/>
      <c r="D102" s="56"/>
      <c r="E102" s="56"/>
      <c r="F102" s="56"/>
      <c r="G102" s="66"/>
    </row>
    <row r="103" spans="1:7" x14ac:dyDescent="0.25">
      <c r="A103" s="84" t="s">
        <v>2010</v>
      </c>
      <c r="B103" s="85" t="s">
        <v>85</v>
      </c>
      <c r="C103" s="56"/>
      <c r="D103" s="56"/>
      <c r="E103" s="56"/>
      <c r="F103" s="56"/>
      <c r="G103" s="66"/>
    </row>
    <row r="104" spans="1:7" x14ac:dyDescent="0.25">
      <c r="A104" s="54" t="s">
        <v>1529</v>
      </c>
      <c r="B104" s="88">
        <v>0.284746</v>
      </c>
      <c r="C104" s="56"/>
      <c r="D104" s="56"/>
      <c r="E104" s="56"/>
      <c r="F104" s="56"/>
      <c r="G104" s="66"/>
    </row>
    <row r="105" spans="1:7" ht="30" x14ac:dyDescent="0.25">
      <c r="A105" s="84" t="s">
        <v>2011</v>
      </c>
      <c r="B105" s="85" t="s">
        <v>85</v>
      </c>
      <c r="C105" s="56"/>
      <c r="D105" s="56"/>
      <c r="E105" s="56"/>
      <c r="F105" s="56"/>
      <c r="G105" s="66"/>
    </row>
    <row r="106" spans="1:7" ht="30" x14ac:dyDescent="0.25">
      <c r="A106" s="84" t="s">
        <v>1495</v>
      </c>
      <c r="B106" s="85" t="s">
        <v>85</v>
      </c>
      <c r="C106" s="56"/>
      <c r="D106" s="56"/>
      <c r="E106" s="56"/>
      <c r="F106" s="56"/>
      <c r="G106" s="66"/>
    </row>
    <row r="107" spans="1:7" x14ac:dyDescent="0.25">
      <c r="A107" s="54" t="s">
        <v>1607</v>
      </c>
      <c r="B107" s="85" t="s">
        <v>85</v>
      </c>
      <c r="C107" s="56"/>
      <c r="D107" s="56"/>
      <c r="E107" s="56"/>
      <c r="F107" s="56"/>
      <c r="G107" s="66"/>
    </row>
    <row r="108" spans="1:7" x14ac:dyDescent="0.25">
      <c r="A108" s="54" t="s">
        <v>1608</v>
      </c>
      <c r="B108" s="85" t="s">
        <v>85</v>
      </c>
      <c r="C108" s="56"/>
      <c r="D108" s="56"/>
      <c r="E108" s="56"/>
      <c r="F108" s="56"/>
      <c r="G108" s="66"/>
    </row>
    <row r="109" spans="1:7" ht="15.75" thickBot="1" x14ac:dyDescent="0.3">
      <c r="A109" s="89"/>
      <c r="B109" s="90"/>
      <c r="C109" s="90"/>
      <c r="D109" s="90"/>
      <c r="E109" s="90"/>
      <c r="F109" s="90"/>
      <c r="G109" s="91"/>
    </row>
    <row r="111" spans="1:7" ht="30" x14ac:dyDescent="0.25">
      <c r="A111" s="107" t="s">
        <v>2042</v>
      </c>
      <c r="B111" s="108" t="s">
        <v>2043</v>
      </c>
      <c r="C111" s="108" t="s">
        <v>2044</v>
      </c>
      <c r="D111" s="109" t="s">
        <v>2045</v>
      </c>
    </row>
    <row r="112" spans="1:7" ht="48" customHeight="1" x14ac:dyDescent="0.25">
      <c r="A112" s="110" t="str">
        <f>HYPERLINK("[EDEL_Portfolio Monthly 31-Mar-2022.xlsx]EEELSS!A1","Edelweiss Long Term Equity Fund")</f>
        <v>Edelweiss Long Term Equity Fund</v>
      </c>
      <c r="B112" s="111"/>
      <c r="C112" s="111" t="s">
        <v>2062</v>
      </c>
      <c r="D112" s="111"/>
    </row>
  </sheetData>
  <mergeCells count="2">
    <mergeCell ref="A3:G3"/>
    <mergeCell ref="A4:G4"/>
  </mergeCells>
  <pageMargins left="0.7" right="0.7" top="0.75" bottom="0.75" header="0.3" footer="0.3"/>
  <pageSetup orientation="portrait" horizontalDpi="300" verticalDpi="30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10"/>
  <sheetViews>
    <sheetView showGridLines="0" topLeftCell="B1" workbookViewId="0">
      <pane ySplit="6" topLeftCell="A1048562"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45.5703125" bestFit="1"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44</v>
      </c>
      <c r="B3" s="139"/>
      <c r="C3" s="139"/>
      <c r="D3" s="139"/>
      <c r="E3" s="139"/>
      <c r="F3" s="139"/>
      <c r="G3" s="140"/>
      <c r="H3" s="46" t="str">
        <f>HYPERLINK("[EDEL_Portfolio HY 31032022.xlsx]Index!A1","Index")</f>
        <v>Index</v>
      </c>
    </row>
    <row r="4" spans="1:8" ht="19.5" customHeight="1" x14ac:dyDescent="0.25">
      <c r="A4" s="141" t="s">
        <v>45</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6" t="s">
        <v>84</v>
      </c>
      <c r="B8" s="31"/>
      <c r="C8" s="31"/>
      <c r="D8" s="14"/>
      <c r="E8" s="15"/>
      <c r="F8" s="16"/>
      <c r="G8" s="75"/>
    </row>
    <row r="9" spans="1:8" x14ac:dyDescent="0.25">
      <c r="A9" s="76" t="s">
        <v>435</v>
      </c>
      <c r="B9" s="31"/>
      <c r="C9" s="31"/>
      <c r="D9" s="14"/>
      <c r="E9" s="15"/>
      <c r="F9" s="16"/>
      <c r="G9" s="75"/>
    </row>
    <row r="10" spans="1:8" x14ac:dyDescent="0.25">
      <c r="A10" s="74" t="s">
        <v>472</v>
      </c>
      <c r="B10" s="31" t="s">
        <v>473</v>
      </c>
      <c r="C10" s="31" t="s">
        <v>2027</v>
      </c>
      <c r="D10" s="14">
        <v>399712</v>
      </c>
      <c r="E10" s="15">
        <v>7621.91</v>
      </c>
      <c r="F10" s="16">
        <v>8.0600000000000005E-2</v>
      </c>
      <c r="G10" s="75"/>
    </row>
    <row r="11" spans="1:8" x14ac:dyDescent="0.25">
      <c r="A11" s="74" t="s">
        <v>622</v>
      </c>
      <c r="B11" s="31" t="s">
        <v>623</v>
      </c>
      <c r="C11" s="31" t="s">
        <v>465</v>
      </c>
      <c r="D11" s="14">
        <v>1011360</v>
      </c>
      <c r="E11" s="15">
        <v>7385.96</v>
      </c>
      <c r="F11" s="16">
        <v>7.8100000000000003E-2</v>
      </c>
      <c r="G11" s="75"/>
    </row>
    <row r="12" spans="1:8" x14ac:dyDescent="0.25">
      <c r="A12" s="74" t="s">
        <v>549</v>
      </c>
      <c r="B12" s="31" t="s">
        <v>550</v>
      </c>
      <c r="C12" s="31" t="s">
        <v>465</v>
      </c>
      <c r="D12" s="14">
        <v>395247</v>
      </c>
      <c r="E12" s="15">
        <v>5811.51</v>
      </c>
      <c r="F12" s="16">
        <v>6.1499999999999999E-2</v>
      </c>
      <c r="G12" s="75"/>
    </row>
    <row r="13" spans="1:8" x14ac:dyDescent="0.25">
      <c r="A13" s="74" t="s">
        <v>438</v>
      </c>
      <c r="B13" s="31" t="s">
        <v>439</v>
      </c>
      <c r="C13" s="31" t="s">
        <v>440</v>
      </c>
      <c r="D13" s="14">
        <v>150098</v>
      </c>
      <c r="E13" s="15">
        <v>3954.71</v>
      </c>
      <c r="F13" s="16">
        <v>4.1799999999999997E-2</v>
      </c>
      <c r="G13" s="75"/>
    </row>
    <row r="14" spans="1:8" x14ac:dyDescent="0.25">
      <c r="A14" s="74" t="s">
        <v>537</v>
      </c>
      <c r="B14" s="31" t="s">
        <v>538</v>
      </c>
      <c r="C14" s="31" t="s">
        <v>465</v>
      </c>
      <c r="D14" s="14">
        <v>764664</v>
      </c>
      <c r="E14" s="15">
        <v>3774</v>
      </c>
      <c r="F14" s="16">
        <v>3.9899999999999998E-2</v>
      </c>
      <c r="G14" s="75"/>
    </row>
    <row r="15" spans="1:8" x14ac:dyDescent="0.25">
      <c r="A15" s="74" t="s">
        <v>481</v>
      </c>
      <c r="B15" s="31" t="s">
        <v>482</v>
      </c>
      <c r="C15" s="31" t="s">
        <v>465</v>
      </c>
      <c r="D15" s="14">
        <v>435639</v>
      </c>
      <c r="E15" s="15">
        <v>3315.87</v>
      </c>
      <c r="F15" s="16">
        <v>3.5099999999999999E-2</v>
      </c>
      <c r="G15" s="75"/>
    </row>
    <row r="16" spans="1:8" x14ac:dyDescent="0.25">
      <c r="A16" s="74" t="s">
        <v>441</v>
      </c>
      <c r="B16" s="31" t="s">
        <v>442</v>
      </c>
      <c r="C16" s="31" t="s">
        <v>443</v>
      </c>
      <c r="D16" s="14">
        <v>367371</v>
      </c>
      <c r="E16" s="15">
        <v>2773.47</v>
      </c>
      <c r="F16" s="16">
        <v>2.93E-2</v>
      </c>
      <c r="G16" s="75"/>
    </row>
    <row r="17" spans="1:7" x14ac:dyDescent="0.25">
      <c r="A17" s="74" t="s">
        <v>631</v>
      </c>
      <c r="B17" s="31" t="s">
        <v>632</v>
      </c>
      <c r="C17" s="31" t="s">
        <v>2027</v>
      </c>
      <c r="D17" s="14">
        <v>80875</v>
      </c>
      <c r="E17" s="15">
        <v>2731.03</v>
      </c>
      <c r="F17" s="16">
        <v>2.8899999999999999E-2</v>
      </c>
      <c r="G17" s="75"/>
    </row>
    <row r="18" spans="1:7" x14ac:dyDescent="0.25">
      <c r="A18" s="74" t="s">
        <v>702</v>
      </c>
      <c r="B18" s="31" t="s">
        <v>703</v>
      </c>
      <c r="C18" s="31" t="s">
        <v>2032</v>
      </c>
      <c r="D18" s="14">
        <v>547799</v>
      </c>
      <c r="E18" s="15">
        <v>2376.08</v>
      </c>
      <c r="F18" s="16">
        <v>2.5100000000000001E-2</v>
      </c>
      <c r="G18" s="75"/>
    </row>
    <row r="19" spans="1:7" x14ac:dyDescent="0.25">
      <c r="A19" s="74" t="s">
        <v>492</v>
      </c>
      <c r="B19" s="31" t="s">
        <v>493</v>
      </c>
      <c r="C19" s="31" t="s">
        <v>2029</v>
      </c>
      <c r="D19" s="14">
        <v>134378</v>
      </c>
      <c r="E19" s="15">
        <v>2375.33</v>
      </c>
      <c r="F19" s="16">
        <v>2.5100000000000001E-2</v>
      </c>
      <c r="G19" s="75"/>
    </row>
    <row r="20" spans="1:7" x14ac:dyDescent="0.25">
      <c r="A20" s="74" t="s">
        <v>527</v>
      </c>
      <c r="B20" s="31" t="s">
        <v>528</v>
      </c>
      <c r="C20" s="31" t="s">
        <v>2030</v>
      </c>
      <c r="D20" s="14">
        <v>88233</v>
      </c>
      <c r="E20" s="15">
        <v>2364.0700000000002</v>
      </c>
      <c r="F20" s="16">
        <v>2.5000000000000001E-2</v>
      </c>
      <c r="G20" s="75"/>
    </row>
    <row r="21" spans="1:7" x14ac:dyDescent="0.25">
      <c r="A21" s="74" t="s">
        <v>724</v>
      </c>
      <c r="B21" s="31" t="s">
        <v>725</v>
      </c>
      <c r="C21" s="31" t="s">
        <v>1429</v>
      </c>
      <c r="D21" s="14">
        <v>210859</v>
      </c>
      <c r="E21" s="15">
        <v>1928.83</v>
      </c>
      <c r="F21" s="16">
        <v>2.0400000000000001E-2</v>
      </c>
      <c r="G21" s="75"/>
    </row>
    <row r="22" spans="1:7" x14ac:dyDescent="0.25">
      <c r="A22" s="74" t="s">
        <v>1034</v>
      </c>
      <c r="B22" s="31" t="s">
        <v>1035</v>
      </c>
      <c r="C22" s="31" t="s">
        <v>494</v>
      </c>
      <c r="D22" s="14">
        <v>364299</v>
      </c>
      <c r="E22" s="15">
        <v>1882.88</v>
      </c>
      <c r="F22" s="16">
        <v>1.9900000000000001E-2</v>
      </c>
      <c r="G22" s="75"/>
    </row>
    <row r="23" spans="1:7" x14ac:dyDescent="0.25">
      <c r="A23" s="74" t="s">
        <v>504</v>
      </c>
      <c r="B23" s="31" t="s">
        <v>505</v>
      </c>
      <c r="C23" s="31" t="s">
        <v>2028</v>
      </c>
      <c r="D23" s="14">
        <v>747835</v>
      </c>
      <c r="E23" s="15">
        <v>1874.45</v>
      </c>
      <c r="F23" s="16">
        <v>1.9800000000000002E-2</v>
      </c>
      <c r="G23" s="75"/>
    </row>
    <row r="24" spans="1:7" x14ac:dyDescent="0.25">
      <c r="A24" s="74" t="s">
        <v>769</v>
      </c>
      <c r="B24" s="31" t="s">
        <v>770</v>
      </c>
      <c r="C24" s="31" t="s">
        <v>2033</v>
      </c>
      <c r="D24" s="14">
        <v>86760</v>
      </c>
      <c r="E24" s="15">
        <v>1872.24</v>
      </c>
      <c r="F24" s="16">
        <v>1.9800000000000002E-2</v>
      </c>
      <c r="G24" s="75"/>
    </row>
    <row r="25" spans="1:7" x14ac:dyDescent="0.25">
      <c r="A25" s="74" t="s">
        <v>510</v>
      </c>
      <c r="B25" s="31" t="s">
        <v>511</v>
      </c>
      <c r="C25" s="31" t="s">
        <v>2027</v>
      </c>
      <c r="D25" s="14">
        <v>156486</v>
      </c>
      <c r="E25" s="15">
        <v>1821.11</v>
      </c>
      <c r="F25" s="16">
        <v>1.9300000000000001E-2</v>
      </c>
      <c r="G25" s="75"/>
    </row>
    <row r="26" spans="1:7" x14ac:dyDescent="0.25">
      <c r="A26" s="74" t="s">
        <v>1109</v>
      </c>
      <c r="B26" s="31" t="s">
        <v>1110</v>
      </c>
      <c r="C26" s="31" t="s">
        <v>494</v>
      </c>
      <c r="D26" s="14">
        <v>151837</v>
      </c>
      <c r="E26" s="15">
        <v>1670.13</v>
      </c>
      <c r="F26" s="16">
        <v>1.77E-2</v>
      </c>
      <c r="G26" s="75"/>
    </row>
    <row r="27" spans="1:7" x14ac:dyDescent="0.25">
      <c r="A27" s="74" t="s">
        <v>1111</v>
      </c>
      <c r="B27" s="31" t="s">
        <v>1112</v>
      </c>
      <c r="C27" s="31" t="s">
        <v>573</v>
      </c>
      <c r="D27" s="14">
        <v>473453</v>
      </c>
      <c r="E27" s="15">
        <v>1645.96</v>
      </c>
      <c r="F27" s="16">
        <v>1.7399999999999999E-2</v>
      </c>
      <c r="G27" s="75"/>
    </row>
    <row r="28" spans="1:7" x14ac:dyDescent="0.25">
      <c r="A28" s="74" t="s">
        <v>669</v>
      </c>
      <c r="B28" s="31" t="s">
        <v>670</v>
      </c>
      <c r="C28" s="31" t="s">
        <v>450</v>
      </c>
      <c r="D28" s="14">
        <v>224253</v>
      </c>
      <c r="E28" s="15">
        <v>1611.15</v>
      </c>
      <c r="F28" s="16">
        <v>1.7000000000000001E-2</v>
      </c>
      <c r="G28" s="75"/>
    </row>
    <row r="29" spans="1:7" x14ac:dyDescent="0.25">
      <c r="A29" s="74" t="s">
        <v>1113</v>
      </c>
      <c r="B29" s="31" t="s">
        <v>1114</v>
      </c>
      <c r="C29" s="31" t="s">
        <v>558</v>
      </c>
      <c r="D29" s="14">
        <v>141562</v>
      </c>
      <c r="E29" s="15">
        <v>1587.33</v>
      </c>
      <c r="F29" s="16">
        <v>1.6799999999999999E-2</v>
      </c>
      <c r="G29" s="75"/>
    </row>
    <row r="30" spans="1:7" x14ac:dyDescent="0.25">
      <c r="A30" s="74" t="s">
        <v>643</v>
      </c>
      <c r="B30" s="31" t="s">
        <v>644</v>
      </c>
      <c r="C30" s="31" t="s">
        <v>450</v>
      </c>
      <c r="D30" s="14">
        <v>249838</v>
      </c>
      <c r="E30" s="15">
        <v>1577.6</v>
      </c>
      <c r="F30" s="16">
        <v>1.67E-2</v>
      </c>
      <c r="G30" s="75"/>
    </row>
    <row r="31" spans="1:7" x14ac:dyDescent="0.25">
      <c r="A31" s="74" t="s">
        <v>1115</v>
      </c>
      <c r="B31" s="31" t="s">
        <v>1116</v>
      </c>
      <c r="C31" s="31" t="s">
        <v>615</v>
      </c>
      <c r="D31" s="14">
        <v>207616</v>
      </c>
      <c r="E31" s="15">
        <v>1487.15</v>
      </c>
      <c r="F31" s="16">
        <v>1.5699999999999999E-2</v>
      </c>
      <c r="G31" s="75"/>
    </row>
    <row r="32" spans="1:7" x14ac:dyDescent="0.25">
      <c r="A32" s="74" t="s">
        <v>657</v>
      </c>
      <c r="B32" s="31" t="s">
        <v>658</v>
      </c>
      <c r="C32" s="31" t="s">
        <v>480</v>
      </c>
      <c r="D32" s="14">
        <v>21865</v>
      </c>
      <c r="E32" s="15">
        <v>1443.59</v>
      </c>
      <c r="F32" s="16">
        <v>1.5299999999999999E-2</v>
      </c>
      <c r="G32" s="75"/>
    </row>
    <row r="33" spans="1:7" x14ac:dyDescent="0.25">
      <c r="A33" s="74" t="s">
        <v>801</v>
      </c>
      <c r="B33" s="31" t="s">
        <v>802</v>
      </c>
      <c r="C33" s="31" t="s">
        <v>2030</v>
      </c>
      <c r="D33" s="14">
        <v>34828</v>
      </c>
      <c r="E33" s="15">
        <v>1421.75</v>
      </c>
      <c r="F33" s="16">
        <v>1.4999999999999999E-2</v>
      </c>
      <c r="G33" s="75"/>
    </row>
    <row r="34" spans="1:7" x14ac:dyDescent="0.25">
      <c r="A34" s="74" t="s">
        <v>448</v>
      </c>
      <c r="B34" s="31" t="s">
        <v>449</v>
      </c>
      <c r="C34" s="31" t="s">
        <v>450</v>
      </c>
      <c r="D34" s="14">
        <v>57666</v>
      </c>
      <c r="E34" s="15">
        <v>1378.45</v>
      </c>
      <c r="F34" s="16">
        <v>1.46E-2</v>
      </c>
      <c r="G34" s="75"/>
    </row>
    <row r="35" spans="1:7" x14ac:dyDescent="0.25">
      <c r="A35" s="74" t="s">
        <v>690</v>
      </c>
      <c r="B35" s="31" t="s">
        <v>691</v>
      </c>
      <c r="C35" s="31" t="s">
        <v>1429</v>
      </c>
      <c r="D35" s="14">
        <v>31902</v>
      </c>
      <c r="E35" s="15">
        <v>1370.33</v>
      </c>
      <c r="F35" s="16">
        <v>1.4500000000000001E-2</v>
      </c>
      <c r="G35" s="75"/>
    </row>
    <row r="36" spans="1:7" x14ac:dyDescent="0.25">
      <c r="A36" s="74" t="s">
        <v>653</v>
      </c>
      <c r="B36" s="31" t="s">
        <v>654</v>
      </c>
      <c r="C36" s="31" t="s">
        <v>2027</v>
      </c>
      <c r="D36" s="14">
        <v>90434</v>
      </c>
      <c r="E36" s="15">
        <v>1356.01</v>
      </c>
      <c r="F36" s="16">
        <v>1.43E-2</v>
      </c>
      <c r="G36" s="75"/>
    </row>
    <row r="37" spans="1:7" x14ac:dyDescent="0.25">
      <c r="A37" s="74" t="s">
        <v>1052</v>
      </c>
      <c r="B37" s="31" t="s">
        <v>1053</v>
      </c>
      <c r="C37" s="31" t="s">
        <v>2025</v>
      </c>
      <c r="D37" s="14">
        <v>139388</v>
      </c>
      <c r="E37" s="15">
        <v>1299.51</v>
      </c>
      <c r="F37" s="16">
        <v>1.37E-2</v>
      </c>
      <c r="G37" s="75"/>
    </row>
    <row r="38" spans="1:7" x14ac:dyDescent="0.25">
      <c r="A38" s="74" t="s">
        <v>553</v>
      </c>
      <c r="B38" s="31" t="s">
        <v>554</v>
      </c>
      <c r="C38" s="31" t="s">
        <v>1429</v>
      </c>
      <c r="D38" s="14">
        <v>126416</v>
      </c>
      <c r="E38" s="15">
        <v>1286.98</v>
      </c>
      <c r="F38" s="16">
        <v>1.3599999999999999E-2</v>
      </c>
      <c r="G38" s="75"/>
    </row>
    <row r="39" spans="1:7" x14ac:dyDescent="0.25">
      <c r="A39" s="74" t="s">
        <v>561</v>
      </c>
      <c r="B39" s="31" t="s">
        <v>562</v>
      </c>
      <c r="C39" s="31" t="s">
        <v>487</v>
      </c>
      <c r="D39" s="14">
        <v>103690</v>
      </c>
      <c r="E39" s="15">
        <v>1162.83</v>
      </c>
      <c r="F39" s="16">
        <v>1.23E-2</v>
      </c>
      <c r="G39" s="75"/>
    </row>
    <row r="40" spans="1:7" x14ac:dyDescent="0.25">
      <c r="A40" s="74" t="s">
        <v>1054</v>
      </c>
      <c r="B40" s="31" t="s">
        <v>1055</v>
      </c>
      <c r="C40" s="31" t="s">
        <v>615</v>
      </c>
      <c r="D40" s="14">
        <v>32869</v>
      </c>
      <c r="E40" s="15">
        <v>1158.06</v>
      </c>
      <c r="F40" s="16">
        <v>1.23E-2</v>
      </c>
      <c r="G40" s="75"/>
    </row>
    <row r="41" spans="1:7" x14ac:dyDescent="0.25">
      <c r="A41" s="74" t="s">
        <v>483</v>
      </c>
      <c r="B41" s="31" t="s">
        <v>484</v>
      </c>
      <c r="C41" s="31" t="s">
        <v>2028</v>
      </c>
      <c r="D41" s="14">
        <v>54166</v>
      </c>
      <c r="E41" s="15">
        <v>1109.67</v>
      </c>
      <c r="F41" s="16">
        <v>1.17E-2</v>
      </c>
      <c r="G41" s="75"/>
    </row>
    <row r="42" spans="1:7" x14ac:dyDescent="0.25">
      <c r="A42" s="74" t="s">
        <v>675</v>
      </c>
      <c r="B42" s="31" t="s">
        <v>676</v>
      </c>
      <c r="C42" s="31" t="s">
        <v>677</v>
      </c>
      <c r="D42" s="14">
        <v>83239</v>
      </c>
      <c r="E42" s="15">
        <v>1061.71</v>
      </c>
      <c r="F42" s="16">
        <v>1.12E-2</v>
      </c>
      <c r="G42" s="75"/>
    </row>
    <row r="43" spans="1:7" x14ac:dyDescent="0.25">
      <c r="A43" s="74" t="s">
        <v>508</v>
      </c>
      <c r="B43" s="31" t="s">
        <v>509</v>
      </c>
      <c r="C43" s="31" t="s">
        <v>462</v>
      </c>
      <c r="D43" s="14">
        <v>184078</v>
      </c>
      <c r="E43" s="15">
        <v>1048.32</v>
      </c>
      <c r="F43" s="16">
        <v>1.11E-2</v>
      </c>
      <c r="G43" s="75"/>
    </row>
    <row r="44" spans="1:7" x14ac:dyDescent="0.25">
      <c r="A44" s="74" t="s">
        <v>457</v>
      </c>
      <c r="B44" s="31" t="s">
        <v>458</v>
      </c>
      <c r="C44" s="31" t="s">
        <v>459</v>
      </c>
      <c r="D44" s="14">
        <v>408025</v>
      </c>
      <c r="E44" s="15">
        <v>973.75</v>
      </c>
      <c r="F44" s="16">
        <v>1.03E-2</v>
      </c>
      <c r="G44" s="75"/>
    </row>
    <row r="45" spans="1:7" x14ac:dyDescent="0.25">
      <c r="A45" s="74" t="s">
        <v>718</v>
      </c>
      <c r="B45" s="31" t="s">
        <v>719</v>
      </c>
      <c r="C45" s="31" t="s">
        <v>2034</v>
      </c>
      <c r="D45" s="14">
        <v>226915</v>
      </c>
      <c r="E45" s="15">
        <v>957.81</v>
      </c>
      <c r="F45" s="16">
        <v>1.01E-2</v>
      </c>
      <c r="G45" s="75"/>
    </row>
    <row r="46" spans="1:7" x14ac:dyDescent="0.25">
      <c r="A46" s="74" t="s">
        <v>582</v>
      </c>
      <c r="B46" s="31" t="s">
        <v>583</v>
      </c>
      <c r="C46" s="31" t="s">
        <v>2032</v>
      </c>
      <c r="D46" s="14">
        <v>12329</v>
      </c>
      <c r="E46" s="15">
        <v>932.23</v>
      </c>
      <c r="F46" s="16">
        <v>9.9000000000000008E-3</v>
      </c>
      <c r="G46" s="75"/>
    </row>
    <row r="47" spans="1:7" x14ac:dyDescent="0.25">
      <c r="A47" s="74" t="s">
        <v>1103</v>
      </c>
      <c r="B47" s="31" t="s">
        <v>1104</v>
      </c>
      <c r="C47" s="31" t="s">
        <v>2028</v>
      </c>
      <c r="D47" s="14">
        <v>192530</v>
      </c>
      <c r="E47" s="15">
        <v>860.9</v>
      </c>
      <c r="F47" s="16">
        <v>9.1000000000000004E-3</v>
      </c>
      <c r="G47" s="75"/>
    </row>
    <row r="48" spans="1:7" x14ac:dyDescent="0.25">
      <c r="A48" s="74" t="s">
        <v>490</v>
      </c>
      <c r="B48" s="31" t="s">
        <v>491</v>
      </c>
      <c r="C48" s="31" t="s">
        <v>450</v>
      </c>
      <c r="D48" s="14">
        <v>11471</v>
      </c>
      <c r="E48" s="15">
        <v>832.79</v>
      </c>
      <c r="F48" s="16">
        <v>8.8000000000000005E-3</v>
      </c>
      <c r="G48" s="75"/>
    </row>
    <row r="49" spans="1:7" x14ac:dyDescent="0.25">
      <c r="A49" s="74" t="s">
        <v>1117</v>
      </c>
      <c r="B49" s="31" t="s">
        <v>1118</v>
      </c>
      <c r="C49" s="31" t="s">
        <v>2033</v>
      </c>
      <c r="D49" s="14">
        <v>202597</v>
      </c>
      <c r="E49" s="15">
        <v>807.25</v>
      </c>
      <c r="F49" s="16">
        <v>8.5000000000000006E-3</v>
      </c>
      <c r="G49" s="75"/>
    </row>
    <row r="50" spans="1:7" x14ac:dyDescent="0.25">
      <c r="A50" s="74" t="s">
        <v>1119</v>
      </c>
      <c r="B50" s="31" t="s">
        <v>1120</v>
      </c>
      <c r="C50" s="31" t="s">
        <v>2033</v>
      </c>
      <c r="D50" s="14">
        <v>16865</v>
      </c>
      <c r="E50" s="15">
        <v>768.29</v>
      </c>
      <c r="F50" s="16">
        <v>8.0999999999999996E-3</v>
      </c>
      <c r="G50" s="75"/>
    </row>
    <row r="51" spans="1:7" x14ac:dyDescent="0.25">
      <c r="A51" s="74" t="s">
        <v>1121</v>
      </c>
      <c r="B51" s="31" t="s">
        <v>1122</v>
      </c>
      <c r="C51" s="31" t="s">
        <v>615</v>
      </c>
      <c r="D51" s="14">
        <v>16454</v>
      </c>
      <c r="E51" s="15">
        <v>708.97</v>
      </c>
      <c r="F51" s="16">
        <v>7.4999999999999997E-3</v>
      </c>
      <c r="G51" s="75"/>
    </row>
    <row r="52" spans="1:7" x14ac:dyDescent="0.25">
      <c r="A52" s="74" t="s">
        <v>777</v>
      </c>
      <c r="B52" s="31" t="s">
        <v>778</v>
      </c>
      <c r="C52" s="31" t="s">
        <v>1429</v>
      </c>
      <c r="D52" s="14">
        <v>14562</v>
      </c>
      <c r="E52" s="15">
        <v>641.03</v>
      </c>
      <c r="F52" s="16">
        <v>6.7999999999999996E-3</v>
      </c>
      <c r="G52" s="75"/>
    </row>
    <row r="53" spans="1:7" x14ac:dyDescent="0.25">
      <c r="A53" s="74" t="s">
        <v>1123</v>
      </c>
      <c r="B53" s="31" t="s">
        <v>1124</v>
      </c>
      <c r="C53" s="31" t="s">
        <v>2033</v>
      </c>
      <c r="D53" s="14">
        <v>223545</v>
      </c>
      <c r="E53" s="15">
        <v>537.63</v>
      </c>
      <c r="F53" s="16">
        <v>5.7000000000000002E-3</v>
      </c>
      <c r="G53" s="75"/>
    </row>
    <row r="54" spans="1:7" x14ac:dyDescent="0.25">
      <c r="A54" s="74" t="s">
        <v>1125</v>
      </c>
      <c r="B54" s="31" t="s">
        <v>1126</v>
      </c>
      <c r="C54" s="31" t="s">
        <v>2024</v>
      </c>
      <c r="D54" s="14">
        <v>104599</v>
      </c>
      <c r="E54" s="15">
        <v>527.80999999999995</v>
      </c>
      <c r="F54" s="16">
        <v>5.5999999999999999E-3</v>
      </c>
      <c r="G54" s="75"/>
    </row>
    <row r="55" spans="1:7" x14ac:dyDescent="0.25">
      <c r="A55" s="74" t="s">
        <v>1127</v>
      </c>
      <c r="B55" s="31" t="s">
        <v>1128</v>
      </c>
      <c r="C55" s="31" t="s">
        <v>2024</v>
      </c>
      <c r="D55" s="14">
        <v>776692</v>
      </c>
      <c r="E55" s="15">
        <v>518.04999999999995</v>
      </c>
      <c r="F55" s="16">
        <v>5.4999999999999997E-3</v>
      </c>
      <c r="G55" s="75"/>
    </row>
    <row r="56" spans="1:7" x14ac:dyDescent="0.25">
      <c r="A56" s="74" t="s">
        <v>1062</v>
      </c>
      <c r="B56" s="31" t="s">
        <v>1063</v>
      </c>
      <c r="C56" s="31" t="s">
        <v>2025</v>
      </c>
      <c r="D56" s="14">
        <v>793355</v>
      </c>
      <c r="E56" s="15">
        <v>511.32</v>
      </c>
      <c r="F56" s="16">
        <v>5.4000000000000003E-3</v>
      </c>
      <c r="G56" s="75"/>
    </row>
    <row r="57" spans="1:7" x14ac:dyDescent="0.25">
      <c r="A57" s="74" t="s">
        <v>1129</v>
      </c>
      <c r="B57" s="31" t="s">
        <v>1130</v>
      </c>
      <c r="C57" s="31" t="s">
        <v>456</v>
      </c>
      <c r="D57" s="14">
        <v>52169</v>
      </c>
      <c r="E57" s="15">
        <v>477.14</v>
      </c>
      <c r="F57" s="16">
        <v>5.0000000000000001E-3</v>
      </c>
      <c r="G57" s="75"/>
    </row>
    <row r="58" spans="1:7" x14ac:dyDescent="0.25">
      <c r="A58" s="74" t="s">
        <v>753</v>
      </c>
      <c r="B58" s="31" t="s">
        <v>754</v>
      </c>
      <c r="C58" s="31" t="s">
        <v>487</v>
      </c>
      <c r="D58" s="14">
        <v>33561</v>
      </c>
      <c r="E58" s="15">
        <v>445.79</v>
      </c>
      <c r="F58" s="16">
        <v>4.7000000000000002E-3</v>
      </c>
      <c r="G58" s="75"/>
    </row>
    <row r="59" spans="1:7" x14ac:dyDescent="0.25">
      <c r="A59" s="74" t="s">
        <v>1131</v>
      </c>
      <c r="B59" s="31" t="s">
        <v>1132</v>
      </c>
      <c r="C59" s="31" t="s">
        <v>2033</v>
      </c>
      <c r="D59" s="14">
        <v>1081</v>
      </c>
      <c r="E59" s="15">
        <v>428.91</v>
      </c>
      <c r="F59" s="16">
        <v>4.4999999999999997E-3</v>
      </c>
      <c r="G59" s="75"/>
    </row>
    <row r="60" spans="1:7" x14ac:dyDescent="0.25">
      <c r="A60" s="74" t="s">
        <v>755</v>
      </c>
      <c r="B60" s="31" t="s">
        <v>756</v>
      </c>
      <c r="C60" s="31" t="s">
        <v>480</v>
      </c>
      <c r="D60" s="14">
        <v>17408</v>
      </c>
      <c r="E60" s="15">
        <v>423.24</v>
      </c>
      <c r="F60" s="16">
        <v>4.4999999999999997E-3</v>
      </c>
      <c r="G60" s="75"/>
    </row>
    <row r="61" spans="1:7" x14ac:dyDescent="0.25">
      <c r="A61" s="74" t="s">
        <v>696</v>
      </c>
      <c r="B61" s="31" t="s">
        <v>697</v>
      </c>
      <c r="C61" s="31" t="s">
        <v>2032</v>
      </c>
      <c r="D61" s="14">
        <v>356337</v>
      </c>
      <c r="E61" s="15">
        <v>417.81</v>
      </c>
      <c r="F61" s="16">
        <v>4.4000000000000003E-3</v>
      </c>
      <c r="G61" s="75"/>
    </row>
    <row r="62" spans="1:7" x14ac:dyDescent="0.25">
      <c r="A62" s="74" t="s">
        <v>745</v>
      </c>
      <c r="B62" s="31" t="s">
        <v>746</v>
      </c>
      <c r="C62" s="31" t="s">
        <v>615</v>
      </c>
      <c r="D62" s="14">
        <v>109830</v>
      </c>
      <c r="E62" s="15">
        <v>410.76</v>
      </c>
      <c r="F62" s="16">
        <v>4.3E-3</v>
      </c>
      <c r="G62" s="75"/>
    </row>
    <row r="63" spans="1:7" x14ac:dyDescent="0.25">
      <c r="A63" s="74" t="s">
        <v>1133</v>
      </c>
      <c r="B63" s="31" t="s">
        <v>1134</v>
      </c>
      <c r="C63" s="31" t="s">
        <v>465</v>
      </c>
      <c r="D63" s="14">
        <v>153127</v>
      </c>
      <c r="E63" s="15">
        <v>323.33</v>
      </c>
      <c r="F63" s="16">
        <v>3.3999999999999998E-3</v>
      </c>
      <c r="G63" s="75"/>
    </row>
    <row r="64" spans="1:7" x14ac:dyDescent="0.25">
      <c r="A64" s="74" t="s">
        <v>783</v>
      </c>
      <c r="B64" s="31" t="s">
        <v>784</v>
      </c>
      <c r="C64" s="31" t="s">
        <v>626</v>
      </c>
      <c r="D64" s="14">
        <v>44114</v>
      </c>
      <c r="E64" s="15">
        <v>222</v>
      </c>
      <c r="F64" s="16">
        <v>2.3E-3</v>
      </c>
      <c r="G64" s="75"/>
    </row>
    <row r="65" spans="1:7" x14ac:dyDescent="0.25">
      <c r="A65" s="74" t="s">
        <v>441</v>
      </c>
      <c r="B65" s="31" t="s">
        <v>1066</v>
      </c>
      <c r="C65" s="31" t="s">
        <v>443</v>
      </c>
      <c r="D65" s="14">
        <v>28895</v>
      </c>
      <c r="E65" s="15">
        <v>114.41</v>
      </c>
      <c r="F65" s="16">
        <v>1.1999999999999999E-3</v>
      </c>
      <c r="G65" s="75"/>
    </row>
    <row r="66" spans="1:7" x14ac:dyDescent="0.25">
      <c r="A66" s="76" t="s">
        <v>90</v>
      </c>
      <c r="B66" s="32"/>
      <c r="C66" s="32"/>
      <c r="D66" s="18"/>
      <c r="E66" s="35">
        <v>91381.2</v>
      </c>
      <c r="F66" s="36">
        <v>0.96609999999999996</v>
      </c>
      <c r="G66" s="77"/>
    </row>
    <row r="67" spans="1:7" x14ac:dyDescent="0.25">
      <c r="A67" s="76" t="s">
        <v>815</v>
      </c>
      <c r="B67" s="31"/>
      <c r="C67" s="31"/>
      <c r="D67" s="14"/>
      <c r="E67" s="15"/>
      <c r="F67" s="16"/>
      <c r="G67" s="75"/>
    </row>
    <row r="68" spans="1:7" x14ac:dyDescent="0.25">
      <c r="A68" s="76" t="s">
        <v>90</v>
      </c>
      <c r="B68" s="31"/>
      <c r="C68" s="31"/>
      <c r="D68" s="14"/>
      <c r="E68" s="37" t="s">
        <v>85</v>
      </c>
      <c r="F68" s="38" t="s">
        <v>85</v>
      </c>
      <c r="G68" s="75"/>
    </row>
    <row r="69" spans="1:7" x14ac:dyDescent="0.25">
      <c r="A69" s="78" t="s">
        <v>93</v>
      </c>
      <c r="B69" s="79"/>
      <c r="C69" s="79"/>
      <c r="D69" s="80"/>
      <c r="E69" s="28">
        <v>91381.2</v>
      </c>
      <c r="F69" s="29">
        <v>0.96609999999999996</v>
      </c>
      <c r="G69" s="77"/>
    </row>
    <row r="70" spans="1:7" x14ac:dyDescent="0.25">
      <c r="A70" s="74"/>
      <c r="B70" s="31"/>
      <c r="C70" s="31"/>
      <c r="D70" s="14"/>
      <c r="E70" s="15"/>
      <c r="F70" s="16"/>
      <c r="G70" s="75"/>
    </row>
    <row r="71" spans="1:7" x14ac:dyDescent="0.25">
      <c r="A71" s="74"/>
      <c r="B71" s="31"/>
      <c r="C71" s="31"/>
      <c r="D71" s="14"/>
      <c r="E71" s="15"/>
      <c r="F71" s="16"/>
      <c r="G71" s="75"/>
    </row>
    <row r="72" spans="1:7" x14ac:dyDescent="0.25">
      <c r="A72" s="76" t="s">
        <v>110</v>
      </c>
      <c r="B72" s="31"/>
      <c r="C72" s="31"/>
      <c r="D72" s="14"/>
      <c r="E72" s="15"/>
      <c r="F72" s="16"/>
      <c r="G72" s="75"/>
    </row>
    <row r="73" spans="1:7" x14ac:dyDescent="0.25">
      <c r="A73" s="74" t="s">
        <v>111</v>
      </c>
      <c r="B73" s="31"/>
      <c r="C73" s="31"/>
      <c r="D73" s="14"/>
      <c r="E73" s="15">
        <v>3098.78</v>
      </c>
      <c r="F73" s="16">
        <v>3.2800000000000003E-2</v>
      </c>
      <c r="G73" s="75">
        <v>3.5790000000000002E-2</v>
      </c>
    </row>
    <row r="74" spans="1:7" x14ac:dyDescent="0.25">
      <c r="A74" s="76" t="s">
        <v>90</v>
      </c>
      <c r="B74" s="32"/>
      <c r="C74" s="32"/>
      <c r="D74" s="18"/>
      <c r="E74" s="35">
        <v>3098.78</v>
      </c>
      <c r="F74" s="36">
        <v>3.2800000000000003E-2</v>
      </c>
      <c r="G74" s="77"/>
    </row>
    <row r="75" spans="1:7" x14ac:dyDescent="0.25">
      <c r="A75" s="74"/>
      <c r="B75" s="31"/>
      <c r="C75" s="31"/>
      <c r="D75" s="14"/>
      <c r="E75" s="15"/>
      <c r="F75" s="16"/>
      <c r="G75" s="75"/>
    </row>
    <row r="76" spans="1:7" x14ac:dyDescent="0.25">
      <c r="A76" s="78" t="s">
        <v>93</v>
      </c>
      <c r="B76" s="79"/>
      <c r="C76" s="79"/>
      <c r="D76" s="80"/>
      <c r="E76" s="35">
        <v>3098.78</v>
      </c>
      <c r="F76" s="36">
        <v>3.2800000000000003E-2</v>
      </c>
      <c r="G76" s="77"/>
    </row>
    <row r="77" spans="1:7" x14ac:dyDescent="0.25">
      <c r="A77" s="74" t="s">
        <v>112</v>
      </c>
      <c r="B77" s="31"/>
      <c r="C77" s="31"/>
      <c r="D77" s="14"/>
      <c r="E77" s="15">
        <v>0.30385069999999997</v>
      </c>
      <c r="F77" s="53" t="s">
        <v>2022</v>
      </c>
      <c r="G77" s="75"/>
    </row>
    <row r="78" spans="1:7" x14ac:dyDescent="0.25">
      <c r="A78" s="74" t="s">
        <v>113</v>
      </c>
      <c r="B78" s="31"/>
      <c r="C78" s="31"/>
      <c r="D78" s="14"/>
      <c r="E78" s="15">
        <v>33.696149300000002</v>
      </c>
      <c r="F78" s="16">
        <v>1.0970000000000001E-3</v>
      </c>
      <c r="G78" s="75">
        <v>3.5790000000000002E-2</v>
      </c>
    </row>
    <row r="79" spans="1:7" x14ac:dyDescent="0.25">
      <c r="A79" s="81" t="s">
        <v>114</v>
      </c>
      <c r="B79" s="34"/>
      <c r="C79" s="34"/>
      <c r="D79" s="27"/>
      <c r="E79" s="28">
        <v>94513.98</v>
      </c>
      <c r="F79" s="29">
        <v>1</v>
      </c>
      <c r="G79" s="82"/>
    </row>
    <row r="80" spans="1:7" x14ac:dyDescent="0.25">
      <c r="A80" s="54"/>
      <c r="B80" s="56"/>
      <c r="C80" s="56"/>
      <c r="D80" s="56"/>
      <c r="E80" s="56"/>
      <c r="F80" s="56"/>
      <c r="G80" s="66"/>
    </row>
    <row r="81" spans="1:7" x14ac:dyDescent="0.25">
      <c r="A81" s="83" t="s">
        <v>2023</v>
      </c>
      <c r="B81" s="56"/>
      <c r="C81" s="56"/>
      <c r="D81" s="56"/>
      <c r="E81" s="56"/>
      <c r="F81" s="56"/>
      <c r="G81" s="66"/>
    </row>
    <row r="82" spans="1:7" x14ac:dyDescent="0.25">
      <c r="A82" s="54"/>
      <c r="B82" s="56"/>
      <c r="C82" s="56"/>
      <c r="D82" s="56"/>
      <c r="E82" s="56"/>
      <c r="F82" s="56"/>
      <c r="G82" s="66"/>
    </row>
    <row r="83" spans="1:7" x14ac:dyDescent="0.25">
      <c r="A83" s="83" t="s">
        <v>1476</v>
      </c>
      <c r="B83" s="56"/>
      <c r="C83" s="56"/>
      <c r="D83" s="56"/>
      <c r="E83" s="56"/>
      <c r="F83" s="56"/>
      <c r="G83" s="66"/>
    </row>
    <row r="84" spans="1:7" x14ac:dyDescent="0.25">
      <c r="A84" s="84" t="s">
        <v>1477</v>
      </c>
      <c r="B84" s="85" t="s">
        <v>85</v>
      </c>
      <c r="C84" s="56"/>
      <c r="D84" s="56"/>
      <c r="E84" s="56"/>
      <c r="F84" s="56"/>
      <c r="G84" s="66"/>
    </row>
    <row r="85" spans="1:7" x14ac:dyDescent="0.25">
      <c r="A85" s="54" t="s">
        <v>1626</v>
      </c>
      <c r="B85" s="56"/>
      <c r="C85" s="56"/>
      <c r="D85" s="56"/>
      <c r="E85" s="56"/>
      <c r="F85" s="56"/>
      <c r="G85" s="66"/>
    </row>
    <row r="86" spans="1:7" x14ac:dyDescent="0.25">
      <c r="A86" s="54" t="s">
        <v>1478</v>
      </c>
      <c r="B86" s="85" t="s">
        <v>1479</v>
      </c>
      <c r="C86" s="85" t="s">
        <v>1479</v>
      </c>
      <c r="D86" s="56"/>
      <c r="E86" s="56"/>
      <c r="F86" s="56"/>
      <c r="G86" s="66"/>
    </row>
    <row r="87" spans="1:7" x14ac:dyDescent="0.25">
      <c r="A87" s="54"/>
      <c r="B87" s="86">
        <v>44469</v>
      </c>
      <c r="C87" s="86">
        <v>44651</v>
      </c>
      <c r="D87" s="56"/>
      <c r="E87" s="56"/>
      <c r="F87" s="56"/>
      <c r="G87" s="66"/>
    </row>
    <row r="88" spans="1:7" x14ac:dyDescent="0.25">
      <c r="A88" s="54" t="s">
        <v>1483</v>
      </c>
      <c r="B88" s="56">
        <v>24.847000000000001</v>
      </c>
      <c r="C88" s="56">
        <v>25.096</v>
      </c>
      <c r="D88" s="56"/>
      <c r="E88" s="59"/>
      <c r="F88" s="56"/>
      <c r="G88" s="87"/>
    </row>
    <row r="89" spans="1:7" x14ac:dyDescent="0.25">
      <c r="A89" s="54" t="s">
        <v>1484</v>
      </c>
      <c r="B89" s="56">
        <v>21.141999999999999</v>
      </c>
      <c r="C89" s="56">
        <v>20.603999999999999</v>
      </c>
      <c r="D89" s="56"/>
      <c r="E89" s="59"/>
      <c r="F89" s="56"/>
      <c r="G89" s="87"/>
    </row>
    <row r="90" spans="1:7" x14ac:dyDescent="0.25">
      <c r="A90" s="54" t="s">
        <v>1503</v>
      </c>
      <c r="B90" s="56">
        <v>22.844000000000001</v>
      </c>
      <c r="C90" s="56">
        <v>22.873999999999999</v>
      </c>
      <c r="D90" s="56"/>
      <c r="E90" s="59"/>
      <c r="F90" s="56"/>
      <c r="G90" s="87"/>
    </row>
    <row r="91" spans="1:7" x14ac:dyDescent="0.25">
      <c r="A91" s="54" t="s">
        <v>1504</v>
      </c>
      <c r="B91" s="56">
        <v>19.503</v>
      </c>
      <c r="C91" s="56">
        <v>18.780999999999999</v>
      </c>
      <c r="D91" s="56"/>
      <c r="E91" s="59"/>
      <c r="F91" s="56"/>
      <c r="G91" s="87"/>
    </row>
    <row r="92" spans="1:7" x14ac:dyDescent="0.25">
      <c r="A92" s="54"/>
      <c r="B92" s="56"/>
      <c r="C92" s="56"/>
      <c r="D92" s="56"/>
      <c r="E92" s="59"/>
      <c r="F92" s="56"/>
      <c r="G92" s="87"/>
    </row>
    <row r="93" spans="1:7" x14ac:dyDescent="0.25">
      <c r="A93" s="54" t="s">
        <v>2007</v>
      </c>
      <c r="B93" s="56"/>
      <c r="C93" s="56"/>
      <c r="D93" s="56"/>
      <c r="E93" s="56"/>
      <c r="F93" s="56"/>
      <c r="G93" s="66"/>
    </row>
    <row r="94" spans="1:7" x14ac:dyDescent="0.25">
      <c r="A94" s="54"/>
      <c r="B94" s="56"/>
      <c r="C94" s="56"/>
      <c r="D94" s="56"/>
      <c r="E94" s="56"/>
      <c r="F94" s="56"/>
      <c r="G94" s="66"/>
    </row>
    <row r="95" spans="1:7" s="47" customFormat="1" x14ac:dyDescent="0.25">
      <c r="A95" s="93" t="s">
        <v>1507</v>
      </c>
      <c r="B95" s="94" t="s">
        <v>1508</v>
      </c>
      <c r="C95" s="95" t="s">
        <v>2018</v>
      </c>
      <c r="D95" s="95" t="s">
        <v>2019</v>
      </c>
      <c r="E95" s="60"/>
      <c r="F95" s="60"/>
      <c r="G95" s="98"/>
    </row>
    <row r="96" spans="1:7" x14ac:dyDescent="0.25">
      <c r="A96" s="96" t="s">
        <v>1513</v>
      </c>
      <c r="B96" s="97"/>
      <c r="C96" s="97">
        <v>0.75</v>
      </c>
      <c r="D96" s="97">
        <v>0.75</v>
      </c>
      <c r="E96" s="56"/>
      <c r="F96" s="56"/>
      <c r="G96" s="66"/>
    </row>
    <row r="97" spans="1:7" x14ac:dyDescent="0.25">
      <c r="A97" s="96" t="s">
        <v>1541</v>
      </c>
      <c r="B97" s="97"/>
      <c r="C97" s="97">
        <v>0.75</v>
      </c>
      <c r="D97" s="97">
        <v>0.75</v>
      </c>
      <c r="E97" s="56"/>
      <c r="F97" s="56"/>
      <c r="G97" s="66"/>
    </row>
    <row r="98" spans="1:7" x14ac:dyDescent="0.25">
      <c r="A98" s="54"/>
      <c r="B98" s="56"/>
      <c r="C98" s="56"/>
      <c r="D98" s="56"/>
      <c r="E98" s="56"/>
      <c r="F98" s="56"/>
      <c r="G98" s="66"/>
    </row>
    <row r="99" spans="1:7" x14ac:dyDescent="0.25">
      <c r="A99" s="54" t="s">
        <v>2008</v>
      </c>
      <c r="B99" s="85" t="s">
        <v>85</v>
      </c>
      <c r="C99" s="56"/>
      <c r="D99" s="56"/>
      <c r="E99" s="56"/>
      <c r="F99" s="56"/>
      <c r="G99" s="66"/>
    </row>
    <row r="100" spans="1:7" ht="18.75" customHeight="1" x14ac:dyDescent="0.25">
      <c r="A100" s="84" t="s">
        <v>2009</v>
      </c>
      <c r="B100" s="85" t="s">
        <v>85</v>
      </c>
      <c r="C100" s="56"/>
      <c r="D100" s="56"/>
      <c r="E100" s="56"/>
      <c r="F100" s="56"/>
      <c r="G100" s="66"/>
    </row>
    <row r="101" spans="1:7" x14ac:dyDescent="0.25">
      <c r="A101" s="84" t="s">
        <v>2010</v>
      </c>
      <c r="B101" s="85" t="s">
        <v>85</v>
      </c>
      <c r="C101" s="56"/>
      <c r="D101" s="56"/>
      <c r="E101" s="56"/>
      <c r="F101" s="56"/>
      <c r="G101" s="66"/>
    </row>
    <row r="102" spans="1:7" x14ac:dyDescent="0.25">
      <c r="A102" s="54" t="s">
        <v>1529</v>
      </c>
      <c r="B102" s="88">
        <v>0.37810100000000002</v>
      </c>
      <c r="C102" s="56"/>
      <c r="D102" s="56"/>
      <c r="E102" s="56"/>
      <c r="F102" s="56"/>
      <c r="G102" s="66"/>
    </row>
    <row r="103" spans="1:7" ht="30" x14ac:dyDescent="0.25">
      <c r="A103" s="84" t="s">
        <v>2011</v>
      </c>
      <c r="B103" s="85" t="s">
        <v>85</v>
      </c>
      <c r="C103" s="56"/>
      <c r="D103" s="56"/>
      <c r="E103" s="56"/>
      <c r="F103" s="56"/>
      <c r="G103" s="66"/>
    </row>
    <row r="104" spans="1:7" ht="30" x14ac:dyDescent="0.25">
      <c r="A104" s="84" t="s">
        <v>1495</v>
      </c>
      <c r="B104" s="85" t="s">
        <v>85</v>
      </c>
      <c r="C104" s="56"/>
      <c r="D104" s="56"/>
      <c r="E104" s="56"/>
      <c r="F104" s="56"/>
      <c r="G104" s="66"/>
    </row>
    <row r="105" spans="1:7" x14ac:dyDescent="0.25">
      <c r="A105" s="54" t="s">
        <v>1607</v>
      </c>
      <c r="B105" s="85" t="s">
        <v>85</v>
      </c>
      <c r="C105" s="56"/>
      <c r="D105" s="56"/>
      <c r="E105" s="56"/>
      <c r="F105" s="56"/>
      <c r="G105" s="66"/>
    </row>
    <row r="106" spans="1:7" x14ac:dyDescent="0.25">
      <c r="A106" s="54" t="s">
        <v>1608</v>
      </c>
      <c r="B106" s="85" t="s">
        <v>85</v>
      </c>
      <c r="C106" s="56"/>
      <c r="D106" s="56"/>
      <c r="E106" s="56"/>
      <c r="F106" s="56"/>
      <c r="G106" s="66"/>
    </row>
    <row r="107" spans="1:7" ht="15.75" thickBot="1" x14ac:dyDescent="0.3">
      <c r="A107" s="89"/>
      <c r="B107" s="90"/>
      <c r="C107" s="90"/>
      <c r="D107" s="90"/>
      <c r="E107" s="90"/>
      <c r="F107" s="90"/>
      <c r="G107" s="91"/>
    </row>
    <row r="109" spans="1:7" ht="30" x14ac:dyDescent="0.25">
      <c r="A109" s="107" t="s">
        <v>2042</v>
      </c>
      <c r="B109" s="108" t="s">
        <v>2043</v>
      </c>
      <c r="C109" s="108" t="s">
        <v>2044</v>
      </c>
      <c r="D109" s="109" t="s">
        <v>2045</v>
      </c>
    </row>
    <row r="110" spans="1:7" ht="45.75" customHeight="1" x14ac:dyDescent="0.25">
      <c r="A110" s="110" t="str">
        <f>HYPERLINK("[EDEL_Portfolio Monthly 31-Mar-2022.xlsx]EEECRF!A1","Edelweiss Flexi-Cap Fund")</f>
        <v>Edelweiss Flexi-Cap Fund</v>
      </c>
      <c r="B110" s="111"/>
      <c r="C110" s="111" t="s">
        <v>2062</v>
      </c>
      <c r="D110" s="111"/>
    </row>
  </sheetData>
  <mergeCells count="2">
    <mergeCell ref="A3:G3"/>
    <mergeCell ref="A4:G4"/>
  </mergeCells>
  <pageMargins left="0.7" right="0.7" top="0.75" bottom="0.75" header="0.3" footer="0.3"/>
  <pageSetup orientation="portrait" horizontalDpi="300" verticalDpi="30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20"/>
  <sheetViews>
    <sheetView showGridLines="0" topLeftCell="B1" workbookViewId="0">
      <pane ySplit="6" topLeftCell="A97"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45.5703125" bestFit="1"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47</v>
      </c>
      <c r="B3" s="139"/>
      <c r="C3" s="139"/>
      <c r="D3" s="139"/>
      <c r="E3" s="139"/>
      <c r="F3" s="139"/>
      <c r="G3" s="140"/>
      <c r="H3" s="46" t="str">
        <f>HYPERLINK("[EDEL_Portfolio HY 31032022.xlsx]Index!A1","Index")</f>
        <v>Index</v>
      </c>
    </row>
    <row r="4" spans="1:8" ht="19.5" customHeight="1" x14ac:dyDescent="0.25">
      <c r="A4" s="141" t="s">
        <v>48</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6" t="s">
        <v>84</v>
      </c>
      <c r="B8" s="31"/>
      <c r="C8" s="31"/>
      <c r="D8" s="14"/>
      <c r="E8" s="15"/>
      <c r="F8" s="16"/>
      <c r="G8" s="75"/>
    </row>
    <row r="9" spans="1:8" x14ac:dyDescent="0.25">
      <c r="A9" s="76" t="s">
        <v>435</v>
      </c>
      <c r="B9" s="31"/>
      <c r="C9" s="31"/>
      <c r="D9" s="14"/>
      <c r="E9" s="15"/>
      <c r="F9" s="16"/>
      <c r="G9" s="75"/>
    </row>
    <row r="10" spans="1:8" x14ac:dyDescent="0.25">
      <c r="A10" s="74" t="s">
        <v>622</v>
      </c>
      <c r="B10" s="31" t="s">
        <v>623</v>
      </c>
      <c r="C10" s="31" t="s">
        <v>465</v>
      </c>
      <c r="D10" s="14">
        <v>1209219</v>
      </c>
      <c r="E10" s="15">
        <v>8830.93</v>
      </c>
      <c r="F10" s="16">
        <v>6.9500000000000006E-2</v>
      </c>
      <c r="G10" s="75"/>
    </row>
    <row r="11" spans="1:8" x14ac:dyDescent="0.25">
      <c r="A11" s="74" t="s">
        <v>472</v>
      </c>
      <c r="B11" s="31" t="s">
        <v>473</v>
      </c>
      <c r="C11" s="31" t="s">
        <v>2027</v>
      </c>
      <c r="D11" s="14">
        <v>371141</v>
      </c>
      <c r="E11" s="15">
        <v>7077.1</v>
      </c>
      <c r="F11" s="16">
        <v>5.57E-2</v>
      </c>
      <c r="G11" s="75"/>
    </row>
    <row r="12" spans="1:8" x14ac:dyDescent="0.25">
      <c r="A12" s="74" t="s">
        <v>549</v>
      </c>
      <c r="B12" s="31" t="s">
        <v>550</v>
      </c>
      <c r="C12" s="31" t="s">
        <v>465</v>
      </c>
      <c r="D12" s="14">
        <v>357872</v>
      </c>
      <c r="E12" s="15">
        <v>5261.97</v>
      </c>
      <c r="F12" s="16">
        <v>4.1399999999999999E-2</v>
      </c>
      <c r="G12" s="75"/>
    </row>
    <row r="13" spans="1:8" x14ac:dyDescent="0.25">
      <c r="A13" s="74" t="s">
        <v>438</v>
      </c>
      <c r="B13" s="31" t="s">
        <v>439</v>
      </c>
      <c r="C13" s="31" t="s">
        <v>440</v>
      </c>
      <c r="D13" s="14">
        <v>169368</v>
      </c>
      <c r="E13" s="15">
        <v>4462.42</v>
      </c>
      <c r="F13" s="16">
        <v>3.5099999999999999E-2</v>
      </c>
      <c r="G13" s="75"/>
    </row>
    <row r="14" spans="1:8" x14ac:dyDescent="0.25">
      <c r="A14" s="74" t="s">
        <v>537</v>
      </c>
      <c r="B14" s="31" t="s">
        <v>538</v>
      </c>
      <c r="C14" s="31" t="s">
        <v>465</v>
      </c>
      <c r="D14" s="14">
        <v>826423</v>
      </c>
      <c r="E14" s="15">
        <v>4078.81</v>
      </c>
      <c r="F14" s="16">
        <v>3.2099999999999997E-2</v>
      </c>
      <c r="G14" s="75"/>
    </row>
    <row r="15" spans="1:8" x14ac:dyDescent="0.25">
      <c r="A15" s="74" t="s">
        <v>481</v>
      </c>
      <c r="B15" s="31" t="s">
        <v>482</v>
      </c>
      <c r="C15" s="31" t="s">
        <v>465</v>
      </c>
      <c r="D15" s="14">
        <v>506894</v>
      </c>
      <c r="E15" s="15">
        <v>3858.22</v>
      </c>
      <c r="F15" s="16">
        <v>3.04E-2</v>
      </c>
      <c r="G15" s="75"/>
    </row>
    <row r="16" spans="1:8" x14ac:dyDescent="0.25">
      <c r="A16" s="74" t="s">
        <v>769</v>
      </c>
      <c r="B16" s="31" t="s">
        <v>770</v>
      </c>
      <c r="C16" s="31" t="s">
        <v>2033</v>
      </c>
      <c r="D16" s="14">
        <v>156318</v>
      </c>
      <c r="E16" s="15">
        <v>3373.26</v>
      </c>
      <c r="F16" s="16">
        <v>2.6599999999999999E-2</v>
      </c>
      <c r="G16" s="75"/>
    </row>
    <row r="17" spans="1:7" x14ac:dyDescent="0.25">
      <c r="A17" s="74" t="s">
        <v>675</v>
      </c>
      <c r="B17" s="31" t="s">
        <v>676</v>
      </c>
      <c r="C17" s="31" t="s">
        <v>677</v>
      </c>
      <c r="D17" s="14">
        <v>262588</v>
      </c>
      <c r="E17" s="15">
        <v>3349.31</v>
      </c>
      <c r="F17" s="16">
        <v>2.64E-2</v>
      </c>
      <c r="G17" s="75"/>
    </row>
    <row r="18" spans="1:7" x14ac:dyDescent="0.25">
      <c r="A18" s="74" t="s">
        <v>737</v>
      </c>
      <c r="B18" s="31" t="s">
        <v>738</v>
      </c>
      <c r="C18" s="31" t="s">
        <v>2027</v>
      </c>
      <c r="D18" s="14">
        <v>69851</v>
      </c>
      <c r="E18" s="15">
        <v>3328.61</v>
      </c>
      <c r="F18" s="16">
        <v>2.6200000000000001E-2</v>
      </c>
      <c r="G18" s="75"/>
    </row>
    <row r="19" spans="1:7" x14ac:dyDescent="0.25">
      <c r="A19" s="74" t="s">
        <v>669</v>
      </c>
      <c r="B19" s="31" t="s">
        <v>670</v>
      </c>
      <c r="C19" s="31" t="s">
        <v>450</v>
      </c>
      <c r="D19" s="14">
        <v>430094</v>
      </c>
      <c r="E19" s="15">
        <v>3090.01</v>
      </c>
      <c r="F19" s="16">
        <v>2.4299999999999999E-2</v>
      </c>
      <c r="G19" s="75"/>
    </row>
    <row r="20" spans="1:7" x14ac:dyDescent="0.25">
      <c r="A20" s="74" t="s">
        <v>745</v>
      </c>
      <c r="B20" s="31" t="s">
        <v>746</v>
      </c>
      <c r="C20" s="31" t="s">
        <v>615</v>
      </c>
      <c r="D20" s="14">
        <v>812905</v>
      </c>
      <c r="E20" s="15">
        <v>3040.26</v>
      </c>
      <c r="F20" s="16">
        <v>2.3900000000000001E-2</v>
      </c>
      <c r="G20" s="75"/>
    </row>
    <row r="21" spans="1:7" x14ac:dyDescent="0.25">
      <c r="A21" s="74" t="s">
        <v>441</v>
      </c>
      <c r="B21" s="31" t="s">
        <v>442</v>
      </c>
      <c r="C21" s="31" t="s">
        <v>443</v>
      </c>
      <c r="D21" s="14">
        <v>402418</v>
      </c>
      <c r="E21" s="15">
        <v>3038.05</v>
      </c>
      <c r="F21" s="16">
        <v>2.3900000000000001E-2</v>
      </c>
      <c r="G21" s="75"/>
    </row>
    <row r="22" spans="1:7" x14ac:dyDescent="0.25">
      <c r="A22" s="74" t="s">
        <v>1113</v>
      </c>
      <c r="B22" s="31" t="s">
        <v>1114</v>
      </c>
      <c r="C22" s="31" t="s">
        <v>558</v>
      </c>
      <c r="D22" s="14">
        <v>252953</v>
      </c>
      <c r="E22" s="15">
        <v>2836.36</v>
      </c>
      <c r="F22" s="16">
        <v>2.23E-2</v>
      </c>
      <c r="G22" s="75"/>
    </row>
    <row r="23" spans="1:7" x14ac:dyDescent="0.25">
      <c r="A23" s="74" t="s">
        <v>801</v>
      </c>
      <c r="B23" s="31" t="s">
        <v>802</v>
      </c>
      <c r="C23" s="31" t="s">
        <v>2030</v>
      </c>
      <c r="D23" s="14">
        <v>66581</v>
      </c>
      <c r="E23" s="15">
        <v>2717.97</v>
      </c>
      <c r="F23" s="16">
        <v>2.1399999999999999E-2</v>
      </c>
      <c r="G23" s="75"/>
    </row>
    <row r="24" spans="1:7" x14ac:dyDescent="0.25">
      <c r="A24" s="74" t="s">
        <v>724</v>
      </c>
      <c r="B24" s="31" t="s">
        <v>725</v>
      </c>
      <c r="C24" s="31" t="s">
        <v>1429</v>
      </c>
      <c r="D24" s="14">
        <v>288883</v>
      </c>
      <c r="E24" s="15">
        <v>2642.56</v>
      </c>
      <c r="F24" s="16">
        <v>2.0799999999999999E-2</v>
      </c>
      <c r="G24" s="75"/>
    </row>
    <row r="25" spans="1:7" x14ac:dyDescent="0.25">
      <c r="A25" s="74" t="s">
        <v>1121</v>
      </c>
      <c r="B25" s="31" t="s">
        <v>1122</v>
      </c>
      <c r="C25" s="31" t="s">
        <v>615</v>
      </c>
      <c r="D25" s="14">
        <v>58504</v>
      </c>
      <c r="E25" s="15">
        <v>2520.8200000000002</v>
      </c>
      <c r="F25" s="16">
        <v>1.9800000000000002E-2</v>
      </c>
      <c r="G25" s="75"/>
    </row>
    <row r="26" spans="1:7" x14ac:dyDescent="0.25">
      <c r="A26" s="74" t="s">
        <v>492</v>
      </c>
      <c r="B26" s="31" t="s">
        <v>493</v>
      </c>
      <c r="C26" s="31" t="s">
        <v>2029</v>
      </c>
      <c r="D26" s="14">
        <v>129074</v>
      </c>
      <c r="E26" s="15">
        <v>2281.58</v>
      </c>
      <c r="F26" s="16">
        <v>1.7999999999999999E-2</v>
      </c>
      <c r="G26" s="75"/>
    </row>
    <row r="27" spans="1:7" x14ac:dyDescent="0.25">
      <c r="A27" s="74" t="s">
        <v>527</v>
      </c>
      <c r="B27" s="31" t="s">
        <v>528</v>
      </c>
      <c r="C27" s="31" t="s">
        <v>2030</v>
      </c>
      <c r="D27" s="14">
        <v>84212</v>
      </c>
      <c r="E27" s="15">
        <v>2256.33</v>
      </c>
      <c r="F27" s="16">
        <v>1.78E-2</v>
      </c>
      <c r="G27" s="75"/>
    </row>
    <row r="28" spans="1:7" x14ac:dyDescent="0.25">
      <c r="A28" s="74" t="s">
        <v>702</v>
      </c>
      <c r="B28" s="31" t="s">
        <v>703</v>
      </c>
      <c r="C28" s="31" t="s">
        <v>2032</v>
      </c>
      <c r="D28" s="14">
        <v>487146</v>
      </c>
      <c r="E28" s="15">
        <v>2113</v>
      </c>
      <c r="F28" s="16">
        <v>1.66E-2</v>
      </c>
      <c r="G28" s="75"/>
    </row>
    <row r="29" spans="1:7" x14ac:dyDescent="0.25">
      <c r="A29" s="74" t="s">
        <v>1052</v>
      </c>
      <c r="B29" s="31" t="s">
        <v>1053</v>
      </c>
      <c r="C29" s="31" t="s">
        <v>2025</v>
      </c>
      <c r="D29" s="14">
        <v>218090</v>
      </c>
      <c r="E29" s="15">
        <v>2033.25</v>
      </c>
      <c r="F29" s="16">
        <v>1.6E-2</v>
      </c>
      <c r="G29" s="75"/>
    </row>
    <row r="30" spans="1:7" x14ac:dyDescent="0.25">
      <c r="A30" s="74" t="s">
        <v>655</v>
      </c>
      <c r="B30" s="31" t="s">
        <v>656</v>
      </c>
      <c r="C30" s="31" t="s">
        <v>450</v>
      </c>
      <c r="D30" s="14">
        <v>154037</v>
      </c>
      <c r="E30" s="15">
        <v>1748.09</v>
      </c>
      <c r="F30" s="16">
        <v>1.38E-2</v>
      </c>
      <c r="G30" s="75"/>
    </row>
    <row r="31" spans="1:7" x14ac:dyDescent="0.25">
      <c r="A31" s="74" t="s">
        <v>1103</v>
      </c>
      <c r="B31" s="31" t="s">
        <v>1104</v>
      </c>
      <c r="C31" s="31" t="s">
        <v>2028</v>
      </c>
      <c r="D31" s="14">
        <v>382767</v>
      </c>
      <c r="E31" s="15">
        <v>1711.54</v>
      </c>
      <c r="F31" s="16">
        <v>1.35E-2</v>
      </c>
      <c r="G31" s="75"/>
    </row>
    <row r="32" spans="1:7" x14ac:dyDescent="0.25">
      <c r="A32" s="74" t="s">
        <v>576</v>
      </c>
      <c r="B32" s="31" t="s">
        <v>577</v>
      </c>
      <c r="C32" s="31" t="s">
        <v>456</v>
      </c>
      <c r="D32" s="14">
        <v>320571</v>
      </c>
      <c r="E32" s="15">
        <v>1708.16</v>
      </c>
      <c r="F32" s="16">
        <v>1.34E-2</v>
      </c>
      <c r="G32" s="75"/>
    </row>
    <row r="33" spans="1:7" x14ac:dyDescent="0.25">
      <c r="A33" s="74" t="s">
        <v>661</v>
      </c>
      <c r="B33" s="31" t="s">
        <v>662</v>
      </c>
      <c r="C33" s="31" t="s">
        <v>2025</v>
      </c>
      <c r="D33" s="14">
        <v>79114</v>
      </c>
      <c r="E33" s="15">
        <v>1690.03</v>
      </c>
      <c r="F33" s="16">
        <v>1.3299999999999999E-2</v>
      </c>
      <c r="G33" s="75"/>
    </row>
    <row r="34" spans="1:7" x14ac:dyDescent="0.25">
      <c r="A34" s="74" t="s">
        <v>1129</v>
      </c>
      <c r="B34" s="31" t="s">
        <v>1130</v>
      </c>
      <c r="C34" s="31" t="s">
        <v>456</v>
      </c>
      <c r="D34" s="14">
        <v>182172</v>
      </c>
      <c r="E34" s="15">
        <v>1666.15</v>
      </c>
      <c r="F34" s="16">
        <v>1.3100000000000001E-2</v>
      </c>
      <c r="G34" s="75"/>
    </row>
    <row r="35" spans="1:7" x14ac:dyDescent="0.25">
      <c r="A35" s="74" t="s">
        <v>448</v>
      </c>
      <c r="B35" s="31" t="s">
        <v>449</v>
      </c>
      <c r="C35" s="31" t="s">
        <v>450</v>
      </c>
      <c r="D35" s="14">
        <v>69444</v>
      </c>
      <c r="E35" s="15">
        <v>1659.99</v>
      </c>
      <c r="F35" s="16">
        <v>1.3100000000000001E-2</v>
      </c>
      <c r="G35" s="75"/>
    </row>
    <row r="36" spans="1:7" x14ac:dyDescent="0.25">
      <c r="A36" s="74" t="s">
        <v>457</v>
      </c>
      <c r="B36" s="31" t="s">
        <v>458</v>
      </c>
      <c r="C36" s="31" t="s">
        <v>459</v>
      </c>
      <c r="D36" s="14">
        <v>679055</v>
      </c>
      <c r="E36" s="15">
        <v>1620.56</v>
      </c>
      <c r="F36" s="16">
        <v>1.2800000000000001E-2</v>
      </c>
      <c r="G36" s="75"/>
    </row>
    <row r="37" spans="1:7" x14ac:dyDescent="0.25">
      <c r="A37" s="74" t="s">
        <v>1115</v>
      </c>
      <c r="B37" s="31" t="s">
        <v>1116</v>
      </c>
      <c r="C37" s="31" t="s">
        <v>615</v>
      </c>
      <c r="D37" s="14">
        <v>223409</v>
      </c>
      <c r="E37" s="15">
        <v>1600.28</v>
      </c>
      <c r="F37" s="16">
        <v>1.26E-2</v>
      </c>
      <c r="G37" s="75"/>
    </row>
    <row r="38" spans="1:7" x14ac:dyDescent="0.25">
      <c r="A38" s="74" t="s">
        <v>657</v>
      </c>
      <c r="B38" s="31" t="s">
        <v>658</v>
      </c>
      <c r="C38" s="31" t="s">
        <v>480</v>
      </c>
      <c r="D38" s="14">
        <v>23429</v>
      </c>
      <c r="E38" s="15">
        <v>1546.85</v>
      </c>
      <c r="F38" s="16">
        <v>1.2200000000000001E-2</v>
      </c>
      <c r="G38" s="75"/>
    </row>
    <row r="39" spans="1:7" x14ac:dyDescent="0.25">
      <c r="A39" s="74" t="s">
        <v>1034</v>
      </c>
      <c r="B39" s="31" t="s">
        <v>1035</v>
      </c>
      <c r="C39" s="31" t="s">
        <v>494</v>
      </c>
      <c r="D39" s="14">
        <v>295597</v>
      </c>
      <c r="E39" s="15">
        <v>1527.79</v>
      </c>
      <c r="F39" s="16">
        <v>1.2E-2</v>
      </c>
      <c r="G39" s="75"/>
    </row>
    <row r="40" spans="1:7" x14ac:dyDescent="0.25">
      <c r="A40" s="74" t="s">
        <v>504</v>
      </c>
      <c r="B40" s="31" t="s">
        <v>505</v>
      </c>
      <c r="C40" s="31" t="s">
        <v>2028</v>
      </c>
      <c r="D40" s="14">
        <v>607253</v>
      </c>
      <c r="E40" s="15">
        <v>1522.08</v>
      </c>
      <c r="F40" s="16">
        <v>1.2E-2</v>
      </c>
      <c r="G40" s="75"/>
    </row>
    <row r="41" spans="1:7" x14ac:dyDescent="0.25">
      <c r="A41" s="74" t="s">
        <v>653</v>
      </c>
      <c r="B41" s="31" t="s">
        <v>654</v>
      </c>
      <c r="C41" s="31" t="s">
        <v>2027</v>
      </c>
      <c r="D41" s="14">
        <v>96599</v>
      </c>
      <c r="E41" s="15">
        <v>1448.45</v>
      </c>
      <c r="F41" s="16">
        <v>1.14E-2</v>
      </c>
      <c r="G41" s="75"/>
    </row>
    <row r="42" spans="1:7" x14ac:dyDescent="0.25">
      <c r="A42" s="74" t="s">
        <v>783</v>
      </c>
      <c r="B42" s="31" t="s">
        <v>784</v>
      </c>
      <c r="C42" s="31" t="s">
        <v>626</v>
      </c>
      <c r="D42" s="14">
        <v>282601</v>
      </c>
      <c r="E42" s="15">
        <v>1422.19</v>
      </c>
      <c r="F42" s="16">
        <v>1.12E-2</v>
      </c>
      <c r="G42" s="75"/>
    </row>
    <row r="43" spans="1:7" x14ac:dyDescent="0.25">
      <c r="A43" s="74" t="s">
        <v>1109</v>
      </c>
      <c r="B43" s="31" t="s">
        <v>1110</v>
      </c>
      <c r="C43" s="31" t="s">
        <v>494</v>
      </c>
      <c r="D43" s="14">
        <v>121873</v>
      </c>
      <c r="E43" s="15">
        <v>1340.54</v>
      </c>
      <c r="F43" s="16">
        <v>1.06E-2</v>
      </c>
      <c r="G43" s="75"/>
    </row>
    <row r="44" spans="1:7" x14ac:dyDescent="0.25">
      <c r="A44" s="74" t="s">
        <v>490</v>
      </c>
      <c r="B44" s="31" t="s">
        <v>491</v>
      </c>
      <c r="C44" s="31" t="s">
        <v>450</v>
      </c>
      <c r="D44" s="14">
        <v>17814</v>
      </c>
      <c r="E44" s="15">
        <v>1293.29</v>
      </c>
      <c r="F44" s="16">
        <v>1.0200000000000001E-2</v>
      </c>
      <c r="G44" s="75"/>
    </row>
    <row r="45" spans="1:7" x14ac:dyDescent="0.25">
      <c r="A45" s="74" t="s">
        <v>690</v>
      </c>
      <c r="B45" s="31" t="s">
        <v>691</v>
      </c>
      <c r="C45" s="31" t="s">
        <v>1429</v>
      </c>
      <c r="D45" s="14">
        <v>29950</v>
      </c>
      <c r="E45" s="15">
        <v>1286.49</v>
      </c>
      <c r="F45" s="16">
        <v>1.01E-2</v>
      </c>
      <c r="G45" s="75"/>
    </row>
    <row r="46" spans="1:7" x14ac:dyDescent="0.25">
      <c r="A46" s="74" t="s">
        <v>541</v>
      </c>
      <c r="B46" s="31" t="s">
        <v>542</v>
      </c>
      <c r="C46" s="31" t="s">
        <v>501</v>
      </c>
      <c r="D46" s="14">
        <v>606887</v>
      </c>
      <c r="E46" s="15">
        <v>1279.32</v>
      </c>
      <c r="F46" s="16">
        <v>1.01E-2</v>
      </c>
      <c r="G46" s="75"/>
    </row>
    <row r="47" spans="1:7" x14ac:dyDescent="0.25">
      <c r="A47" s="74" t="s">
        <v>620</v>
      </c>
      <c r="B47" s="31" t="s">
        <v>621</v>
      </c>
      <c r="C47" s="31" t="s">
        <v>1429</v>
      </c>
      <c r="D47" s="14">
        <v>215437</v>
      </c>
      <c r="E47" s="15">
        <v>1271.29</v>
      </c>
      <c r="F47" s="16">
        <v>0.01</v>
      </c>
      <c r="G47" s="75"/>
    </row>
    <row r="48" spans="1:7" x14ac:dyDescent="0.25">
      <c r="A48" s="74" t="s">
        <v>483</v>
      </c>
      <c r="B48" s="31" t="s">
        <v>484</v>
      </c>
      <c r="C48" s="31" t="s">
        <v>2028</v>
      </c>
      <c r="D48" s="14">
        <v>59922</v>
      </c>
      <c r="E48" s="15">
        <v>1227.5899999999999</v>
      </c>
      <c r="F48" s="16">
        <v>9.7000000000000003E-3</v>
      </c>
      <c r="G48" s="75"/>
    </row>
    <row r="49" spans="1:7" x14ac:dyDescent="0.25">
      <c r="A49" s="74" t="s">
        <v>510</v>
      </c>
      <c r="B49" s="31" t="s">
        <v>511</v>
      </c>
      <c r="C49" s="31" t="s">
        <v>2027</v>
      </c>
      <c r="D49" s="14">
        <v>104471</v>
      </c>
      <c r="E49" s="15">
        <v>1215.78</v>
      </c>
      <c r="F49" s="16">
        <v>9.5999999999999992E-3</v>
      </c>
      <c r="G49" s="75"/>
    </row>
    <row r="50" spans="1:7" x14ac:dyDescent="0.25">
      <c r="A50" s="74" t="s">
        <v>596</v>
      </c>
      <c r="B50" s="31" t="s">
        <v>597</v>
      </c>
      <c r="C50" s="31" t="s">
        <v>573</v>
      </c>
      <c r="D50" s="14">
        <v>26541</v>
      </c>
      <c r="E50" s="15">
        <v>1198.6199999999999</v>
      </c>
      <c r="F50" s="16">
        <v>9.4000000000000004E-3</v>
      </c>
      <c r="G50" s="75"/>
    </row>
    <row r="51" spans="1:7" x14ac:dyDescent="0.25">
      <c r="A51" s="74" t="s">
        <v>553</v>
      </c>
      <c r="B51" s="31" t="s">
        <v>554</v>
      </c>
      <c r="C51" s="31" t="s">
        <v>1429</v>
      </c>
      <c r="D51" s="14">
        <v>113713</v>
      </c>
      <c r="E51" s="15">
        <v>1157.6600000000001</v>
      </c>
      <c r="F51" s="16">
        <v>9.1000000000000004E-3</v>
      </c>
      <c r="G51" s="75"/>
    </row>
    <row r="52" spans="1:7" x14ac:dyDescent="0.25">
      <c r="A52" s="74" t="s">
        <v>582</v>
      </c>
      <c r="B52" s="31" t="s">
        <v>583</v>
      </c>
      <c r="C52" s="31" t="s">
        <v>2032</v>
      </c>
      <c r="D52" s="14">
        <v>15144</v>
      </c>
      <c r="E52" s="15">
        <v>1145.08</v>
      </c>
      <c r="F52" s="16">
        <v>8.9999999999999993E-3</v>
      </c>
      <c r="G52" s="75"/>
    </row>
    <row r="53" spans="1:7" x14ac:dyDescent="0.25">
      <c r="A53" s="74" t="s">
        <v>718</v>
      </c>
      <c r="B53" s="31" t="s">
        <v>719</v>
      </c>
      <c r="C53" s="31" t="s">
        <v>2034</v>
      </c>
      <c r="D53" s="14">
        <v>249407</v>
      </c>
      <c r="E53" s="15">
        <v>1052.75</v>
      </c>
      <c r="F53" s="16">
        <v>8.3000000000000001E-3</v>
      </c>
      <c r="G53" s="75"/>
    </row>
    <row r="54" spans="1:7" x14ac:dyDescent="0.25">
      <c r="A54" s="74" t="s">
        <v>508</v>
      </c>
      <c r="B54" s="31" t="s">
        <v>509</v>
      </c>
      <c r="C54" s="31" t="s">
        <v>462</v>
      </c>
      <c r="D54" s="14">
        <v>183178</v>
      </c>
      <c r="E54" s="15">
        <v>1043.2</v>
      </c>
      <c r="F54" s="16">
        <v>8.2000000000000007E-3</v>
      </c>
      <c r="G54" s="75"/>
    </row>
    <row r="55" spans="1:7" x14ac:dyDescent="0.25">
      <c r="A55" s="74" t="s">
        <v>700</v>
      </c>
      <c r="B55" s="31" t="s">
        <v>701</v>
      </c>
      <c r="C55" s="31" t="s">
        <v>480</v>
      </c>
      <c r="D55" s="14">
        <v>68615</v>
      </c>
      <c r="E55" s="15">
        <v>1026.21</v>
      </c>
      <c r="F55" s="16">
        <v>8.0999999999999996E-3</v>
      </c>
      <c r="G55" s="75"/>
    </row>
    <row r="56" spans="1:7" x14ac:dyDescent="0.25">
      <c r="A56" s="74" t="s">
        <v>561</v>
      </c>
      <c r="B56" s="31" t="s">
        <v>562</v>
      </c>
      <c r="C56" s="31" t="s">
        <v>487</v>
      </c>
      <c r="D56" s="14">
        <v>91002</v>
      </c>
      <c r="E56" s="15">
        <v>1020.54</v>
      </c>
      <c r="F56" s="16">
        <v>8.0000000000000002E-3</v>
      </c>
      <c r="G56" s="75"/>
    </row>
    <row r="57" spans="1:7" x14ac:dyDescent="0.25">
      <c r="A57" s="74" t="s">
        <v>696</v>
      </c>
      <c r="B57" s="31" t="s">
        <v>697</v>
      </c>
      <c r="C57" s="31" t="s">
        <v>2032</v>
      </c>
      <c r="D57" s="14">
        <v>868459</v>
      </c>
      <c r="E57" s="15">
        <v>1018.27</v>
      </c>
      <c r="F57" s="16">
        <v>8.0000000000000002E-3</v>
      </c>
      <c r="G57" s="75"/>
    </row>
    <row r="58" spans="1:7" x14ac:dyDescent="0.25">
      <c r="A58" s="74" t="s">
        <v>1117</v>
      </c>
      <c r="B58" s="31" t="s">
        <v>1118</v>
      </c>
      <c r="C58" s="31" t="s">
        <v>2033</v>
      </c>
      <c r="D58" s="14">
        <v>237619</v>
      </c>
      <c r="E58" s="15">
        <v>946.79</v>
      </c>
      <c r="F58" s="16">
        <v>7.4999999999999997E-3</v>
      </c>
      <c r="G58" s="75"/>
    </row>
    <row r="59" spans="1:7" x14ac:dyDescent="0.25">
      <c r="A59" s="74" t="s">
        <v>643</v>
      </c>
      <c r="B59" s="31" t="s">
        <v>644</v>
      </c>
      <c r="C59" s="31" t="s">
        <v>450</v>
      </c>
      <c r="D59" s="14">
        <v>147555</v>
      </c>
      <c r="E59" s="15">
        <v>931.74</v>
      </c>
      <c r="F59" s="16">
        <v>7.3000000000000001E-3</v>
      </c>
      <c r="G59" s="75"/>
    </row>
    <row r="60" spans="1:7" x14ac:dyDescent="0.25">
      <c r="A60" s="74" t="s">
        <v>1143</v>
      </c>
      <c r="B60" s="31" t="s">
        <v>1144</v>
      </c>
      <c r="C60" s="31" t="s">
        <v>2030</v>
      </c>
      <c r="D60" s="14">
        <v>8917</v>
      </c>
      <c r="E60" s="15">
        <v>917.79</v>
      </c>
      <c r="F60" s="16">
        <v>7.1999999999999998E-3</v>
      </c>
      <c r="G60" s="75"/>
    </row>
    <row r="61" spans="1:7" x14ac:dyDescent="0.25">
      <c r="A61" s="74" t="s">
        <v>775</v>
      </c>
      <c r="B61" s="31" t="s">
        <v>776</v>
      </c>
      <c r="C61" s="31" t="s">
        <v>459</v>
      </c>
      <c r="D61" s="14">
        <v>181636</v>
      </c>
      <c r="E61" s="15">
        <v>893.38</v>
      </c>
      <c r="F61" s="16">
        <v>7.0000000000000001E-3</v>
      </c>
      <c r="G61" s="75"/>
    </row>
    <row r="62" spans="1:7" x14ac:dyDescent="0.25">
      <c r="A62" s="74" t="s">
        <v>1131</v>
      </c>
      <c r="B62" s="31" t="s">
        <v>1132</v>
      </c>
      <c r="C62" s="31" t="s">
        <v>2033</v>
      </c>
      <c r="D62" s="14">
        <v>1922</v>
      </c>
      <c r="E62" s="15">
        <v>762.59</v>
      </c>
      <c r="F62" s="16">
        <v>6.0000000000000001E-3</v>
      </c>
      <c r="G62" s="75"/>
    </row>
    <row r="63" spans="1:7" x14ac:dyDescent="0.25">
      <c r="A63" s="74" t="s">
        <v>1119</v>
      </c>
      <c r="B63" s="31" t="s">
        <v>1120</v>
      </c>
      <c r="C63" s="31" t="s">
        <v>2033</v>
      </c>
      <c r="D63" s="14">
        <v>16703</v>
      </c>
      <c r="E63" s="15">
        <v>760.91</v>
      </c>
      <c r="F63" s="16">
        <v>6.0000000000000001E-3</v>
      </c>
      <c r="G63" s="75"/>
    </row>
    <row r="64" spans="1:7" x14ac:dyDescent="0.25">
      <c r="A64" s="74" t="s">
        <v>1062</v>
      </c>
      <c r="B64" s="31" t="s">
        <v>1063</v>
      </c>
      <c r="C64" s="31" t="s">
        <v>2025</v>
      </c>
      <c r="D64" s="14">
        <v>1026949</v>
      </c>
      <c r="E64" s="15">
        <v>661.87</v>
      </c>
      <c r="F64" s="16">
        <v>5.1999999999999998E-3</v>
      </c>
      <c r="G64" s="75"/>
    </row>
    <row r="65" spans="1:7" x14ac:dyDescent="0.25">
      <c r="A65" s="74" t="s">
        <v>1145</v>
      </c>
      <c r="B65" s="31" t="s">
        <v>1146</v>
      </c>
      <c r="C65" s="31" t="s">
        <v>2028</v>
      </c>
      <c r="D65" s="14">
        <v>139232</v>
      </c>
      <c r="E65" s="15">
        <v>651.26</v>
      </c>
      <c r="F65" s="16">
        <v>5.1000000000000004E-3</v>
      </c>
      <c r="G65" s="75"/>
    </row>
    <row r="66" spans="1:7" x14ac:dyDescent="0.25">
      <c r="A66" s="74" t="s">
        <v>755</v>
      </c>
      <c r="B66" s="31" t="s">
        <v>756</v>
      </c>
      <c r="C66" s="31" t="s">
        <v>480</v>
      </c>
      <c r="D66" s="14">
        <v>26523</v>
      </c>
      <c r="E66" s="15">
        <v>644.85</v>
      </c>
      <c r="F66" s="16">
        <v>5.1000000000000004E-3</v>
      </c>
      <c r="G66" s="75"/>
    </row>
    <row r="67" spans="1:7" x14ac:dyDescent="0.25">
      <c r="A67" s="74" t="s">
        <v>1123</v>
      </c>
      <c r="B67" s="31" t="s">
        <v>1124</v>
      </c>
      <c r="C67" s="31" t="s">
        <v>2033</v>
      </c>
      <c r="D67" s="14">
        <v>264163</v>
      </c>
      <c r="E67" s="15">
        <v>635.30999999999995</v>
      </c>
      <c r="F67" s="16">
        <v>5.0000000000000001E-3</v>
      </c>
      <c r="G67" s="75"/>
    </row>
    <row r="68" spans="1:7" x14ac:dyDescent="0.25">
      <c r="A68" s="74" t="s">
        <v>1127</v>
      </c>
      <c r="B68" s="31" t="s">
        <v>1128</v>
      </c>
      <c r="C68" s="31" t="s">
        <v>2024</v>
      </c>
      <c r="D68" s="14">
        <v>808616</v>
      </c>
      <c r="E68" s="15">
        <v>539.35</v>
      </c>
      <c r="F68" s="16">
        <v>4.1999999999999997E-3</v>
      </c>
      <c r="G68" s="75"/>
    </row>
    <row r="69" spans="1:7" x14ac:dyDescent="0.25">
      <c r="A69" s="74" t="s">
        <v>753</v>
      </c>
      <c r="B69" s="31" t="s">
        <v>754</v>
      </c>
      <c r="C69" s="31" t="s">
        <v>487</v>
      </c>
      <c r="D69" s="14">
        <v>39024</v>
      </c>
      <c r="E69" s="15">
        <v>518.36</v>
      </c>
      <c r="F69" s="16">
        <v>4.1000000000000003E-3</v>
      </c>
      <c r="G69" s="75"/>
    </row>
    <row r="70" spans="1:7" x14ac:dyDescent="0.25">
      <c r="A70" s="74" t="s">
        <v>777</v>
      </c>
      <c r="B70" s="31" t="s">
        <v>778</v>
      </c>
      <c r="C70" s="31" t="s">
        <v>1429</v>
      </c>
      <c r="D70" s="14">
        <v>11722</v>
      </c>
      <c r="E70" s="15">
        <v>516.01</v>
      </c>
      <c r="F70" s="16">
        <v>4.1000000000000003E-3</v>
      </c>
      <c r="G70" s="75"/>
    </row>
    <row r="71" spans="1:7" x14ac:dyDescent="0.25">
      <c r="A71" s="74" t="s">
        <v>1147</v>
      </c>
      <c r="B71" s="31" t="s">
        <v>1148</v>
      </c>
      <c r="C71" s="31" t="s">
        <v>558</v>
      </c>
      <c r="D71" s="14">
        <v>28049</v>
      </c>
      <c r="E71" s="15">
        <v>455.15</v>
      </c>
      <c r="F71" s="16">
        <v>3.5999999999999999E-3</v>
      </c>
      <c r="G71" s="75"/>
    </row>
    <row r="72" spans="1:7" x14ac:dyDescent="0.25">
      <c r="A72" s="74" t="s">
        <v>1125</v>
      </c>
      <c r="B72" s="31" t="s">
        <v>1126</v>
      </c>
      <c r="C72" s="31" t="s">
        <v>2024</v>
      </c>
      <c r="D72" s="14">
        <v>75005</v>
      </c>
      <c r="E72" s="15">
        <v>378.48</v>
      </c>
      <c r="F72" s="16">
        <v>3.0000000000000001E-3</v>
      </c>
      <c r="G72" s="75"/>
    </row>
    <row r="73" spans="1:7" x14ac:dyDescent="0.25">
      <c r="A73" s="74" t="s">
        <v>616</v>
      </c>
      <c r="B73" s="31" t="s">
        <v>617</v>
      </c>
      <c r="C73" s="31" t="s">
        <v>608</v>
      </c>
      <c r="D73" s="14">
        <v>10282</v>
      </c>
      <c r="E73" s="15">
        <v>271.08</v>
      </c>
      <c r="F73" s="16">
        <v>2.0999999999999999E-3</v>
      </c>
      <c r="G73" s="75"/>
    </row>
    <row r="74" spans="1:7" x14ac:dyDescent="0.25">
      <c r="A74" s="74" t="s">
        <v>441</v>
      </c>
      <c r="B74" s="31" t="s">
        <v>1066</v>
      </c>
      <c r="C74" s="31" t="s">
        <v>443</v>
      </c>
      <c r="D74" s="14">
        <v>30995</v>
      </c>
      <c r="E74" s="15">
        <v>122.72</v>
      </c>
      <c r="F74" s="16">
        <v>1E-3</v>
      </c>
      <c r="G74" s="75"/>
    </row>
    <row r="75" spans="1:7" x14ac:dyDescent="0.25">
      <c r="A75" s="76" t="s">
        <v>90</v>
      </c>
      <c r="B75" s="32"/>
      <c r="C75" s="32"/>
      <c r="D75" s="18"/>
      <c r="E75" s="35">
        <v>121247.25</v>
      </c>
      <c r="F75" s="36">
        <v>0.95450000000000002</v>
      </c>
      <c r="G75" s="77"/>
    </row>
    <row r="76" spans="1:7" x14ac:dyDescent="0.25">
      <c r="A76" s="76" t="s">
        <v>815</v>
      </c>
      <c r="B76" s="31"/>
      <c r="C76" s="31"/>
      <c r="D76" s="14"/>
      <c r="E76" s="15"/>
      <c r="F76" s="16"/>
      <c r="G76" s="75"/>
    </row>
    <row r="77" spans="1:7" x14ac:dyDescent="0.25">
      <c r="A77" s="76" t="s">
        <v>90</v>
      </c>
      <c r="B77" s="31"/>
      <c r="C77" s="31"/>
      <c r="D77" s="14"/>
      <c r="E77" s="37" t="s">
        <v>85</v>
      </c>
      <c r="F77" s="38" t="s">
        <v>85</v>
      </c>
      <c r="G77" s="75"/>
    </row>
    <row r="78" spans="1:7" x14ac:dyDescent="0.25">
      <c r="A78" s="78" t="s">
        <v>93</v>
      </c>
      <c r="B78" s="79"/>
      <c r="C78" s="79"/>
      <c r="D78" s="80"/>
      <c r="E78" s="28">
        <v>121247.25</v>
      </c>
      <c r="F78" s="29">
        <v>0.95450000000000002</v>
      </c>
      <c r="G78" s="77"/>
    </row>
    <row r="79" spans="1:7" x14ac:dyDescent="0.25">
      <c r="A79" s="74"/>
      <c r="B79" s="31"/>
      <c r="C79" s="31"/>
      <c r="D79" s="14"/>
      <c r="E79" s="15"/>
      <c r="F79" s="16"/>
      <c r="G79" s="75"/>
    </row>
    <row r="80" spans="1:7" x14ac:dyDescent="0.25">
      <c r="A80" s="74"/>
      <c r="B80" s="31"/>
      <c r="C80" s="31"/>
      <c r="D80" s="14"/>
      <c r="E80" s="15"/>
      <c r="F80" s="16"/>
      <c r="G80" s="75"/>
    </row>
    <row r="81" spans="1:7" x14ac:dyDescent="0.25">
      <c r="A81" s="76" t="s">
        <v>110</v>
      </c>
      <c r="B81" s="31"/>
      <c r="C81" s="31"/>
      <c r="D81" s="14"/>
      <c r="E81" s="15"/>
      <c r="F81" s="16"/>
      <c r="G81" s="75"/>
    </row>
    <row r="82" spans="1:7" x14ac:dyDescent="0.25">
      <c r="A82" s="74" t="s">
        <v>111</v>
      </c>
      <c r="B82" s="31"/>
      <c r="C82" s="31"/>
      <c r="D82" s="14"/>
      <c r="E82" s="15">
        <v>6397.49</v>
      </c>
      <c r="F82" s="16">
        <v>5.04E-2</v>
      </c>
      <c r="G82" s="75">
        <v>3.5790000000000002E-2</v>
      </c>
    </row>
    <row r="83" spans="1:7" x14ac:dyDescent="0.25">
      <c r="A83" s="76" t="s">
        <v>90</v>
      </c>
      <c r="B83" s="32"/>
      <c r="C83" s="32"/>
      <c r="D83" s="18"/>
      <c r="E83" s="35">
        <v>6397.49</v>
      </c>
      <c r="F83" s="36">
        <v>5.04E-2</v>
      </c>
      <c r="G83" s="77"/>
    </row>
    <row r="84" spans="1:7" x14ac:dyDescent="0.25">
      <c r="A84" s="74"/>
      <c r="B84" s="31"/>
      <c r="C84" s="31"/>
      <c r="D84" s="14"/>
      <c r="E84" s="15"/>
      <c r="F84" s="16"/>
      <c r="G84" s="75"/>
    </row>
    <row r="85" spans="1:7" x14ac:dyDescent="0.25">
      <c r="A85" s="78" t="s">
        <v>93</v>
      </c>
      <c r="B85" s="79"/>
      <c r="C85" s="79"/>
      <c r="D85" s="80"/>
      <c r="E85" s="35">
        <v>6397.49</v>
      </c>
      <c r="F85" s="36">
        <v>5.04E-2</v>
      </c>
      <c r="G85" s="77"/>
    </row>
    <row r="86" spans="1:7" x14ac:dyDescent="0.25">
      <c r="A86" s="74" t="s">
        <v>112</v>
      </c>
      <c r="B86" s="31"/>
      <c r="C86" s="31"/>
      <c r="D86" s="14"/>
      <c r="E86" s="15">
        <v>0.62730459999999999</v>
      </c>
      <c r="F86" s="53" t="s">
        <v>2022</v>
      </c>
      <c r="G86" s="75"/>
    </row>
    <row r="87" spans="1:7" x14ac:dyDescent="0.25">
      <c r="A87" s="74" t="s">
        <v>113</v>
      </c>
      <c r="B87" s="31"/>
      <c r="C87" s="31"/>
      <c r="D87" s="14"/>
      <c r="E87" s="24">
        <v>-615.61730460000001</v>
      </c>
      <c r="F87" s="25">
        <v>-4.9040000000000004E-3</v>
      </c>
      <c r="G87" s="75">
        <v>3.5790000000000002E-2</v>
      </c>
    </row>
    <row r="88" spans="1:7" x14ac:dyDescent="0.25">
      <c r="A88" s="81" t="s">
        <v>114</v>
      </c>
      <c r="B88" s="34"/>
      <c r="C88" s="34"/>
      <c r="D88" s="27"/>
      <c r="E88" s="28">
        <v>127029.75</v>
      </c>
      <c r="F88" s="29">
        <v>1</v>
      </c>
      <c r="G88" s="82"/>
    </row>
    <row r="89" spans="1:7" x14ac:dyDescent="0.25">
      <c r="A89" s="54"/>
      <c r="B89" s="56"/>
      <c r="C89" s="56"/>
      <c r="D89" s="56"/>
      <c r="E89" s="56"/>
      <c r="F89" s="56"/>
      <c r="G89" s="66"/>
    </row>
    <row r="90" spans="1:7" x14ac:dyDescent="0.25">
      <c r="A90" s="83" t="s">
        <v>2023</v>
      </c>
      <c r="B90" s="56"/>
      <c r="C90" s="56"/>
      <c r="D90" s="56"/>
      <c r="E90" s="56"/>
      <c r="F90" s="56"/>
      <c r="G90" s="66"/>
    </row>
    <row r="91" spans="1:7" x14ac:dyDescent="0.25">
      <c r="A91" s="54"/>
      <c r="B91" s="56"/>
      <c r="C91" s="56"/>
      <c r="D91" s="56"/>
      <c r="E91" s="56"/>
      <c r="F91" s="56"/>
      <c r="G91" s="66"/>
    </row>
    <row r="92" spans="1:7" x14ac:dyDescent="0.25">
      <c r="A92" s="83" t="s">
        <v>1476</v>
      </c>
      <c r="B92" s="56"/>
      <c r="C92" s="56"/>
      <c r="D92" s="56"/>
      <c r="E92" s="56"/>
      <c r="F92" s="56"/>
      <c r="G92" s="66"/>
    </row>
    <row r="93" spans="1:7" x14ac:dyDescent="0.25">
      <c r="A93" s="84" t="s">
        <v>1477</v>
      </c>
      <c r="B93" s="85" t="s">
        <v>85</v>
      </c>
      <c r="C93" s="56"/>
      <c r="D93" s="56"/>
      <c r="E93" s="56"/>
      <c r="F93" s="56"/>
      <c r="G93" s="66"/>
    </row>
    <row r="94" spans="1:7" x14ac:dyDescent="0.25">
      <c r="A94" s="54" t="s">
        <v>1626</v>
      </c>
      <c r="B94" s="56"/>
      <c r="C94" s="56"/>
      <c r="D94" s="56"/>
      <c r="E94" s="56"/>
      <c r="F94" s="56"/>
      <c r="G94" s="66"/>
    </row>
    <row r="95" spans="1:7" x14ac:dyDescent="0.25">
      <c r="A95" s="54" t="s">
        <v>1478</v>
      </c>
      <c r="B95" s="85" t="s">
        <v>1479</v>
      </c>
      <c r="C95" s="85" t="s">
        <v>1479</v>
      </c>
      <c r="D95" s="56"/>
      <c r="E95" s="56"/>
      <c r="F95" s="56"/>
      <c r="G95" s="66"/>
    </row>
    <row r="96" spans="1:7" x14ac:dyDescent="0.25">
      <c r="A96" s="54"/>
      <c r="B96" s="86">
        <v>44469</v>
      </c>
      <c r="C96" s="86">
        <v>44651</v>
      </c>
      <c r="D96" s="56"/>
      <c r="E96" s="56"/>
      <c r="F96" s="56"/>
      <c r="G96" s="66"/>
    </row>
    <row r="97" spans="1:7" x14ac:dyDescent="0.25">
      <c r="A97" s="54" t="s">
        <v>1483</v>
      </c>
      <c r="B97" s="56">
        <v>57.972999999999999</v>
      </c>
      <c r="C97" s="56">
        <v>58.179000000000002</v>
      </c>
      <c r="D97" s="56"/>
      <c r="E97" s="59"/>
      <c r="F97" s="56"/>
      <c r="G97" s="87"/>
    </row>
    <row r="98" spans="1:7" x14ac:dyDescent="0.25">
      <c r="A98" s="54" t="s">
        <v>1484</v>
      </c>
      <c r="B98" s="56">
        <v>23.494</v>
      </c>
      <c r="C98" s="56">
        <v>22.567</v>
      </c>
      <c r="D98" s="56"/>
      <c r="E98" s="59"/>
      <c r="F98" s="56"/>
      <c r="G98" s="87"/>
    </row>
    <row r="99" spans="1:7" x14ac:dyDescent="0.25">
      <c r="A99" s="54" t="s">
        <v>1503</v>
      </c>
      <c r="B99" s="56">
        <v>52.246000000000002</v>
      </c>
      <c r="C99" s="56">
        <v>51.993000000000002</v>
      </c>
      <c r="D99" s="56"/>
      <c r="E99" s="59"/>
      <c r="F99" s="56"/>
      <c r="G99" s="87"/>
    </row>
    <row r="100" spans="1:7" x14ac:dyDescent="0.25">
      <c r="A100" s="54" t="s">
        <v>1504</v>
      </c>
      <c r="B100" s="56">
        <v>20.940999999999999</v>
      </c>
      <c r="C100" s="103">
        <v>19.829999999999998</v>
      </c>
      <c r="D100" s="56"/>
      <c r="E100" s="59"/>
      <c r="F100" s="56"/>
      <c r="G100" s="87"/>
    </row>
    <row r="101" spans="1:7" x14ac:dyDescent="0.25">
      <c r="A101" s="54"/>
      <c r="B101" s="56"/>
      <c r="C101" s="56"/>
      <c r="D101" s="56"/>
      <c r="E101" s="59"/>
      <c r="F101" s="56"/>
      <c r="G101" s="87"/>
    </row>
    <row r="102" spans="1:7" x14ac:dyDescent="0.25">
      <c r="A102" s="54" t="s">
        <v>2007</v>
      </c>
      <c r="B102" s="56"/>
      <c r="C102" s="56"/>
      <c r="D102" s="56"/>
      <c r="E102" s="56"/>
      <c r="F102" s="56"/>
      <c r="G102" s="66"/>
    </row>
    <row r="103" spans="1:7" x14ac:dyDescent="0.25">
      <c r="A103" s="54"/>
      <c r="B103" s="56"/>
      <c r="C103" s="56"/>
      <c r="D103" s="56"/>
      <c r="E103" s="56"/>
      <c r="F103" s="56"/>
      <c r="G103" s="66"/>
    </row>
    <row r="104" spans="1:7" x14ac:dyDescent="0.25">
      <c r="A104" s="93" t="s">
        <v>1507</v>
      </c>
      <c r="B104" s="94" t="s">
        <v>1508</v>
      </c>
      <c r="C104" s="95" t="s">
        <v>2018</v>
      </c>
      <c r="D104" s="95" t="s">
        <v>2019</v>
      </c>
      <c r="E104" s="56"/>
      <c r="F104" s="56"/>
      <c r="G104" s="66"/>
    </row>
    <row r="105" spans="1:7" x14ac:dyDescent="0.25">
      <c r="A105" s="96" t="s">
        <v>1515</v>
      </c>
      <c r="B105" s="97"/>
      <c r="C105" s="97">
        <v>1</v>
      </c>
      <c r="D105" s="97">
        <v>1</v>
      </c>
      <c r="E105" s="56"/>
      <c r="F105" s="56"/>
      <c r="G105" s="66"/>
    </row>
    <row r="106" spans="1:7" x14ac:dyDescent="0.25">
      <c r="A106" s="96" t="s">
        <v>1513</v>
      </c>
      <c r="B106" s="97"/>
      <c r="C106" s="97">
        <v>1</v>
      </c>
      <c r="D106" s="97">
        <v>1</v>
      </c>
      <c r="E106" s="56"/>
      <c r="F106" s="56"/>
      <c r="G106" s="66"/>
    </row>
    <row r="107" spans="1:7" x14ac:dyDescent="0.25">
      <c r="A107" s="54"/>
      <c r="B107" s="56"/>
      <c r="C107" s="56"/>
      <c r="D107" s="56"/>
      <c r="E107" s="56"/>
      <c r="F107" s="56"/>
      <c r="G107" s="66"/>
    </row>
    <row r="108" spans="1:7" x14ac:dyDescent="0.25">
      <c r="A108" s="54" t="s">
        <v>2008</v>
      </c>
      <c r="B108" s="85" t="s">
        <v>85</v>
      </c>
      <c r="C108" s="56"/>
      <c r="D108" s="56"/>
      <c r="E108" s="56"/>
      <c r="F108" s="56"/>
      <c r="G108" s="66"/>
    </row>
    <row r="109" spans="1:7" ht="17.25" customHeight="1" x14ac:dyDescent="0.25">
      <c r="A109" s="84" t="s">
        <v>2009</v>
      </c>
      <c r="B109" s="85" t="s">
        <v>85</v>
      </c>
      <c r="C109" s="56"/>
      <c r="D109" s="56"/>
      <c r="E109" s="56"/>
      <c r="F109" s="56"/>
      <c r="G109" s="66"/>
    </row>
    <row r="110" spans="1:7" x14ac:dyDescent="0.25">
      <c r="A110" s="84" t="s">
        <v>2010</v>
      </c>
      <c r="B110" s="85" t="s">
        <v>85</v>
      </c>
      <c r="C110" s="56"/>
      <c r="D110" s="56"/>
      <c r="E110" s="56"/>
      <c r="F110" s="56"/>
      <c r="G110" s="66"/>
    </row>
    <row r="111" spans="1:7" x14ac:dyDescent="0.25">
      <c r="A111" s="54" t="s">
        <v>1529</v>
      </c>
      <c r="B111" s="88">
        <v>0.35657</v>
      </c>
      <c r="C111" s="56"/>
      <c r="D111" s="56"/>
      <c r="E111" s="56"/>
      <c r="F111" s="56"/>
      <c r="G111" s="66"/>
    </row>
    <row r="112" spans="1:7" ht="30" x14ac:dyDescent="0.25">
      <c r="A112" s="84" t="s">
        <v>2011</v>
      </c>
      <c r="B112" s="85" t="s">
        <v>85</v>
      </c>
      <c r="C112" s="56"/>
      <c r="D112" s="56"/>
      <c r="E112" s="56"/>
      <c r="F112" s="56"/>
      <c r="G112" s="66"/>
    </row>
    <row r="113" spans="1:7" ht="30" x14ac:dyDescent="0.25">
      <c r="A113" s="84" t="s">
        <v>1495</v>
      </c>
      <c r="B113" s="85" t="s">
        <v>85</v>
      </c>
      <c r="C113" s="56"/>
      <c r="D113" s="56"/>
      <c r="E113" s="56"/>
      <c r="F113" s="56"/>
      <c r="G113" s="66"/>
    </row>
    <row r="114" spans="1:7" x14ac:dyDescent="0.25">
      <c r="A114" s="54" t="s">
        <v>1607</v>
      </c>
      <c r="B114" s="85" t="s">
        <v>85</v>
      </c>
      <c r="C114" s="56"/>
      <c r="D114" s="56"/>
      <c r="E114" s="56"/>
      <c r="F114" s="56"/>
      <c r="G114" s="66"/>
    </row>
    <row r="115" spans="1:7" x14ac:dyDescent="0.25">
      <c r="A115" s="54" t="s">
        <v>1608</v>
      </c>
      <c r="B115" s="85" t="s">
        <v>85</v>
      </c>
      <c r="C115" s="56"/>
      <c r="D115" s="56"/>
      <c r="E115" s="56"/>
      <c r="F115" s="56"/>
      <c r="G115" s="66"/>
    </row>
    <row r="116" spans="1:7" x14ac:dyDescent="0.25">
      <c r="A116" s="54"/>
      <c r="B116" s="56"/>
      <c r="C116" s="56"/>
      <c r="D116" s="56"/>
      <c r="E116" s="56"/>
      <c r="F116" s="56"/>
      <c r="G116" s="66"/>
    </row>
    <row r="117" spans="1:7" ht="15.75" thickBot="1" x14ac:dyDescent="0.3">
      <c r="A117" s="89"/>
      <c r="B117" s="90"/>
      <c r="C117" s="90"/>
      <c r="D117" s="90"/>
      <c r="E117" s="90"/>
      <c r="F117" s="90"/>
      <c r="G117" s="91"/>
    </row>
    <row r="119" spans="1:7" ht="30" x14ac:dyDescent="0.25">
      <c r="A119" s="107" t="s">
        <v>2042</v>
      </c>
      <c r="B119" s="108" t="s">
        <v>2043</v>
      </c>
      <c r="C119" s="108" t="s">
        <v>2044</v>
      </c>
      <c r="D119" s="109" t="s">
        <v>2045</v>
      </c>
    </row>
    <row r="120" spans="1:7" ht="51" customHeight="1" x14ac:dyDescent="0.25">
      <c r="A120" s="110" t="str">
        <f>HYPERLINK("[EDEL_Portfolio Monthly 31-Mar-2022.xlsx]EEEQTF!A1","Edelweiss Large &amp; Mid Cap Fund")</f>
        <v>Edelweiss Large &amp; Mid Cap Fund</v>
      </c>
      <c r="B120" s="111"/>
      <c r="C120" s="112" t="s">
        <v>2063</v>
      </c>
      <c r="D120" s="111"/>
    </row>
  </sheetData>
  <mergeCells count="2">
    <mergeCell ref="A3:G3"/>
    <mergeCell ref="A4:G4"/>
  </mergeCells>
  <pageMargins left="0.7" right="0.7" top="0.75" bottom="0.75" header="0.3" footer="0.3"/>
  <pageSetup orientation="portrait" horizontalDpi="300" verticalDpi="30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30"/>
  <sheetViews>
    <sheetView showGridLines="0" topLeftCell="B1" workbookViewId="0">
      <pane ySplit="6" topLeftCell="A82"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45.5703125" bestFit="1"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49</v>
      </c>
      <c r="B3" s="139"/>
      <c r="C3" s="139"/>
      <c r="D3" s="139"/>
      <c r="E3" s="139"/>
      <c r="F3" s="139"/>
      <c r="G3" s="140"/>
      <c r="H3" s="46" t="str">
        <f>HYPERLINK("[EDEL_Portfolio HY 31032022.xlsx]Index!A1","Index")</f>
        <v>Index</v>
      </c>
    </row>
    <row r="4" spans="1:8" ht="19.5" customHeight="1" x14ac:dyDescent="0.25">
      <c r="A4" s="141" t="s">
        <v>50</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6" t="s">
        <v>84</v>
      </c>
      <c r="B8" s="31"/>
      <c r="C8" s="31"/>
      <c r="D8" s="14"/>
      <c r="E8" s="15"/>
      <c r="F8" s="16"/>
      <c r="G8" s="75"/>
    </row>
    <row r="9" spans="1:8" x14ac:dyDescent="0.25">
      <c r="A9" s="76" t="s">
        <v>435</v>
      </c>
      <c r="B9" s="31"/>
      <c r="C9" s="31"/>
      <c r="D9" s="14"/>
      <c r="E9" s="15"/>
      <c r="F9" s="16"/>
      <c r="G9" s="75"/>
    </row>
    <row r="10" spans="1:8" x14ac:dyDescent="0.25">
      <c r="A10" s="74" t="s">
        <v>737</v>
      </c>
      <c r="B10" s="31" t="s">
        <v>738</v>
      </c>
      <c r="C10" s="31" t="s">
        <v>2027</v>
      </c>
      <c r="D10" s="14">
        <v>89084</v>
      </c>
      <c r="E10" s="15">
        <v>4245.12</v>
      </c>
      <c r="F10" s="16">
        <v>3.6400000000000002E-2</v>
      </c>
      <c r="G10" s="75"/>
    </row>
    <row r="11" spans="1:8" x14ac:dyDescent="0.25">
      <c r="A11" s="74" t="s">
        <v>1149</v>
      </c>
      <c r="B11" s="31" t="s">
        <v>1150</v>
      </c>
      <c r="C11" s="31" t="s">
        <v>1429</v>
      </c>
      <c r="D11" s="14">
        <v>195568</v>
      </c>
      <c r="E11" s="15">
        <v>3080</v>
      </c>
      <c r="F11" s="16">
        <v>2.64E-2</v>
      </c>
      <c r="G11" s="75"/>
    </row>
    <row r="12" spans="1:8" x14ac:dyDescent="0.25">
      <c r="A12" s="74" t="s">
        <v>1034</v>
      </c>
      <c r="B12" s="31" t="s">
        <v>1035</v>
      </c>
      <c r="C12" s="31" t="s">
        <v>494</v>
      </c>
      <c r="D12" s="14">
        <v>563208</v>
      </c>
      <c r="E12" s="15">
        <v>2910.94</v>
      </c>
      <c r="F12" s="16">
        <v>2.5000000000000001E-2</v>
      </c>
      <c r="G12" s="75"/>
    </row>
    <row r="13" spans="1:8" x14ac:dyDescent="0.25">
      <c r="A13" s="74" t="s">
        <v>718</v>
      </c>
      <c r="B13" s="31" t="s">
        <v>719</v>
      </c>
      <c r="C13" s="31" t="s">
        <v>2034</v>
      </c>
      <c r="D13" s="14">
        <v>666270</v>
      </c>
      <c r="E13" s="15">
        <v>2812.33</v>
      </c>
      <c r="F13" s="16">
        <v>2.41E-2</v>
      </c>
      <c r="G13" s="75"/>
    </row>
    <row r="14" spans="1:8" x14ac:dyDescent="0.25">
      <c r="A14" s="74" t="s">
        <v>805</v>
      </c>
      <c r="B14" s="31" t="s">
        <v>806</v>
      </c>
      <c r="C14" s="31" t="s">
        <v>2027</v>
      </c>
      <c r="D14" s="14">
        <v>606935</v>
      </c>
      <c r="E14" s="15">
        <v>2761.25</v>
      </c>
      <c r="F14" s="16">
        <v>2.3699999999999999E-2</v>
      </c>
      <c r="G14" s="75"/>
    </row>
    <row r="15" spans="1:8" x14ac:dyDescent="0.25">
      <c r="A15" s="74" t="s">
        <v>631</v>
      </c>
      <c r="B15" s="31" t="s">
        <v>632</v>
      </c>
      <c r="C15" s="31" t="s">
        <v>2027</v>
      </c>
      <c r="D15" s="14">
        <v>80786</v>
      </c>
      <c r="E15" s="15">
        <v>2728.02</v>
      </c>
      <c r="F15" s="16">
        <v>2.3400000000000001E-2</v>
      </c>
      <c r="G15" s="75"/>
    </row>
    <row r="16" spans="1:8" x14ac:dyDescent="0.25">
      <c r="A16" s="74" t="s">
        <v>643</v>
      </c>
      <c r="B16" s="31" t="s">
        <v>644</v>
      </c>
      <c r="C16" s="31" t="s">
        <v>450</v>
      </c>
      <c r="D16" s="14">
        <v>417772</v>
      </c>
      <c r="E16" s="15">
        <v>2638.02</v>
      </c>
      <c r="F16" s="16">
        <v>2.2599999999999999E-2</v>
      </c>
      <c r="G16" s="75"/>
    </row>
    <row r="17" spans="1:7" x14ac:dyDescent="0.25">
      <c r="A17" s="74" t="s">
        <v>1151</v>
      </c>
      <c r="B17" s="31" t="s">
        <v>1152</v>
      </c>
      <c r="C17" s="31" t="s">
        <v>558</v>
      </c>
      <c r="D17" s="14">
        <v>204034</v>
      </c>
      <c r="E17" s="15">
        <v>2572.87</v>
      </c>
      <c r="F17" s="16">
        <v>2.2100000000000002E-2</v>
      </c>
      <c r="G17" s="75"/>
    </row>
    <row r="18" spans="1:7" x14ac:dyDescent="0.25">
      <c r="A18" s="74" t="s">
        <v>1153</v>
      </c>
      <c r="B18" s="31" t="s">
        <v>1154</v>
      </c>
      <c r="C18" s="31" t="s">
        <v>2035</v>
      </c>
      <c r="D18" s="14">
        <v>404240</v>
      </c>
      <c r="E18" s="15">
        <v>2516.6</v>
      </c>
      <c r="F18" s="16">
        <v>2.1600000000000001E-2</v>
      </c>
      <c r="G18" s="75"/>
    </row>
    <row r="19" spans="1:7" x14ac:dyDescent="0.25">
      <c r="A19" s="74" t="s">
        <v>1155</v>
      </c>
      <c r="B19" s="31" t="s">
        <v>1156</v>
      </c>
      <c r="C19" s="31" t="s">
        <v>2027</v>
      </c>
      <c r="D19" s="14">
        <v>73108</v>
      </c>
      <c r="E19" s="15">
        <v>2428.5</v>
      </c>
      <c r="F19" s="16">
        <v>2.0799999999999999E-2</v>
      </c>
      <c r="G19" s="75"/>
    </row>
    <row r="20" spans="1:7" x14ac:dyDescent="0.25">
      <c r="A20" s="74" t="s">
        <v>1115</v>
      </c>
      <c r="B20" s="31" t="s">
        <v>1116</v>
      </c>
      <c r="C20" s="31" t="s">
        <v>615</v>
      </c>
      <c r="D20" s="14">
        <v>337322</v>
      </c>
      <c r="E20" s="15">
        <v>2416.2399999999998</v>
      </c>
      <c r="F20" s="16">
        <v>2.07E-2</v>
      </c>
      <c r="G20" s="75"/>
    </row>
    <row r="21" spans="1:7" x14ac:dyDescent="0.25">
      <c r="A21" s="74" t="s">
        <v>1111</v>
      </c>
      <c r="B21" s="31" t="s">
        <v>1112</v>
      </c>
      <c r="C21" s="31" t="s">
        <v>573</v>
      </c>
      <c r="D21" s="14">
        <v>661786</v>
      </c>
      <c r="E21" s="15">
        <v>2300.6999999999998</v>
      </c>
      <c r="F21" s="16">
        <v>1.9699999999999999E-2</v>
      </c>
      <c r="G21" s="75"/>
    </row>
    <row r="22" spans="1:7" x14ac:dyDescent="0.25">
      <c r="A22" s="74" t="s">
        <v>1054</v>
      </c>
      <c r="B22" s="31" t="s">
        <v>1055</v>
      </c>
      <c r="C22" s="31" t="s">
        <v>615</v>
      </c>
      <c r="D22" s="14">
        <v>64520</v>
      </c>
      <c r="E22" s="15">
        <v>2273.1999999999998</v>
      </c>
      <c r="F22" s="16">
        <v>1.95E-2</v>
      </c>
      <c r="G22" s="75"/>
    </row>
    <row r="23" spans="1:7" x14ac:dyDescent="0.25">
      <c r="A23" s="74" t="s">
        <v>680</v>
      </c>
      <c r="B23" s="31" t="s">
        <v>681</v>
      </c>
      <c r="C23" s="31" t="s">
        <v>465</v>
      </c>
      <c r="D23" s="14">
        <v>2308084</v>
      </c>
      <c r="E23" s="15">
        <v>2248.0700000000002</v>
      </c>
      <c r="F23" s="16">
        <v>1.9300000000000001E-2</v>
      </c>
      <c r="G23" s="75"/>
    </row>
    <row r="24" spans="1:7" x14ac:dyDescent="0.25">
      <c r="A24" s="74" t="s">
        <v>1157</v>
      </c>
      <c r="B24" s="31" t="s">
        <v>1158</v>
      </c>
      <c r="C24" s="31" t="s">
        <v>558</v>
      </c>
      <c r="D24" s="14">
        <v>123479</v>
      </c>
      <c r="E24" s="15">
        <v>2222.56</v>
      </c>
      <c r="F24" s="16">
        <v>1.9099999999999999E-2</v>
      </c>
      <c r="G24" s="75"/>
    </row>
    <row r="25" spans="1:7" x14ac:dyDescent="0.25">
      <c r="A25" s="74" t="s">
        <v>1117</v>
      </c>
      <c r="B25" s="31" t="s">
        <v>1118</v>
      </c>
      <c r="C25" s="31" t="s">
        <v>2033</v>
      </c>
      <c r="D25" s="14">
        <v>549907</v>
      </c>
      <c r="E25" s="15">
        <v>2191.1</v>
      </c>
      <c r="F25" s="16">
        <v>1.8800000000000001E-2</v>
      </c>
      <c r="G25" s="75"/>
    </row>
    <row r="26" spans="1:7" x14ac:dyDescent="0.25">
      <c r="A26" s="74" t="s">
        <v>1050</v>
      </c>
      <c r="B26" s="31" t="s">
        <v>1051</v>
      </c>
      <c r="C26" s="31" t="s">
        <v>558</v>
      </c>
      <c r="D26" s="14">
        <v>95682</v>
      </c>
      <c r="E26" s="15">
        <v>2048.65</v>
      </c>
      <c r="F26" s="16">
        <v>1.7600000000000001E-2</v>
      </c>
      <c r="G26" s="75"/>
    </row>
    <row r="27" spans="1:7" x14ac:dyDescent="0.25">
      <c r="A27" s="74" t="s">
        <v>1135</v>
      </c>
      <c r="B27" s="31" t="s">
        <v>1136</v>
      </c>
      <c r="C27" s="31" t="s">
        <v>615</v>
      </c>
      <c r="D27" s="14">
        <v>347466</v>
      </c>
      <c r="E27" s="15">
        <v>2034.24</v>
      </c>
      <c r="F27" s="16">
        <v>1.7500000000000002E-2</v>
      </c>
      <c r="G27" s="75"/>
    </row>
    <row r="28" spans="1:7" x14ac:dyDescent="0.25">
      <c r="A28" s="74" t="s">
        <v>1032</v>
      </c>
      <c r="B28" s="31" t="s">
        <v>1033</v>
      </c>
      <c r="C28" s="31" t="s">
        <v>677</v>
      </c>
      <c r="D28" s="14">
        <v>49843</v>
      </c>
      <c r="E28" s="15">
        <v>1976.92</v>
      </c>
      <c r="F28" s="16">
        <v>1.7000000000000001E-2</v>
      </c>
      <c r="G28" s="75"/>
    </row>
    <row r="29" spans="1:7" x14ac:dyDescent="0.25">
      <c r="A29" s="74" t="s">
        <v>801</v>
      </c>
      <c r="B29" s="31" t="s">
        <v>802</v>
      </c>
      <c r="C29" s="31" t="s">
        <v>2030</v>
      </c>
      <c r="D29" s="14">
        <v>46174</v>
      </c>
      <c r="E29" s="15">
        <v>1884.92</v>
      </c>
      <c r="F29" s="16">
        <v>1.6199999999999999E-2</v>
      </c>
      <c r="G29" s="75"/>
    </row>
    <row r="30" spans="1:7" x14ac:dyDescent="0.25">
      <c r="A30" s="74" t="s">
        <v>1139</v>
      </c>
      <c r="B30" s="31" t="s">
        <v>1140</v>
      </c>
      <c r="C30" s="31" t="s">
        <v>456</v>
      </c>
      <c r="D30" s="14">
        <v>72631</v>
      </c>
      <c r="E30" s="15">
        <v>1883.58</v>
      </c>
      <c r="F30" s="16">
        <v>1.6199999999999999E-2</v>
      </c>
      <c r="G30" s="75"/>
    </row>
    <row r="31" spans="1:7" x14ac:dyDescent="0.25">
      <c r="A31" s="74" t="s">
        <v>1159</v>
      </c>
      <c r="B31" s="31" t="s">
        <v>1160</v>
      </c>
      <c r="C31" s="31" t="s">
        <v>558</v>
      </c>
      <c r="D31" s="14">
        <v>242071</v>
      </c>
      <c r="E31" s="15">
        <v>1767.24</v>
      </c>
      <c r="F31" s="16">
        <v>1.52E-2</v>
      </c>
      <c r="G31" s="75"/>
    </row>
    <row r="32" spans="1:7" x14ac:dyDescent="0.25">
      <c r="A32" s="74" t="s">
        <v>1129</v>
      </c>
      <c r="B32" s="31" t="s">
        <v>1130</v>
      </c>
      <c r="C32" s="31" t="s">
        <v>456</v>
      </c>
      <c r="D32" s="14">
        <v>192272</v>
      </c>
      <c r="E32" s="15">
        <v>1758.52</v>
      </c>
      <c r="F32" s="16">
        <v>1.5100000000000001E-2</v>
      </c>
      <c r="G32" s="75"/>
    </row>
    <row r="33" spans="1:7" x14ac:dyDescent="0.25">
      <c r="A33" s="74" t="s">
        <v>527</v>
      </c>
      <c r="B33" s="31" t="s">
        <v>528</v>
      </c>
      <c r="C33" s="31" t="s">
        <v>2030</v>
      </c>
      <c r="D33" s="14">
        <v>63514</v>
      </c>
      <c r="E33" s="15">
        <v>1701.76</v>
      </c>
      <c r="F33" s="16">
        <v>1.46E-2</v>
      </c>
      <c r="G33" s="75"/>
    </row>
    <row r="34" spans="1:7" x14ac:dyDescent="0.25">
      <c r="A34" s="74" t="s">
        <v>1161</v>
      </c>
      <c r="B34" s="31" t="s">
        <v>1162</v>
      </c>
      <c r="C34" s="31" t="s">
        <v>2036</v>
      </c>
      <c r="D34" s="14">
        <v>39014</v>
      </c>
      <c r="E34" s="15">
        <v>1692.78</v>
      </c>
      <c r="F34" s="16">
        <v>1.4500000000000001E-2</v>
      </c>
      <c r="G34" s="75"/>
    </row>
    <row r="35" spans="1:7" x14ac:dyDescent="0.25">
      <c r="A35" s="74" t="s">
        <v>1119</v>
      </c>
      <c r="B35" s="31" t="s">
        <v>1120</v>
      </c>
      <c r="C35" s="31" t="s">
        <v>2033</v>
      </c>
      <c r="D35" s="14">
        <v>36800</v>
      </c>
      <c r="E35" s="15">
        <v>1676.44</v>
      </c>
      <c r="F35" s="16">
        <v>1.44E-2</v>
      </c>
      <c r="G35" s="75"/>
    </row>
    <row r="36" spans="1:7" x14ac:dyDescent="0.25">
      <c r="A36" s="74" t="s">
        <v>1056</v>
      </c>
      <c r="B36" s="31" t="s">
        <v>1057</v>
      </c>
      <c r="C36" s="31" t="s">
        <v>494</v>
      </c>
      <c r="D36" s="14">
        <v>570759</v>
      </c>
      <c r="E36" s="15">
        <v>1621.81</v>
      </c>
      <c r="F36" s="16">
        <v>1.3899999999999999E-2</v>
      </c>
      <c r="G36" s="75"/>
    </row>
    <row r="37" spans="1:7" x14ac:dyDescent="0.25">
      <c r="A37" s="74" t="s">
        <v>1163</v>
      </c>
      <c r="B37" s="31" t="s">
        <v>1164</v>
      </c>
      <c r="C37" s="31" t="s">
        <v>2024</v>
      </c>
      <c r="D37" s="14">
        <v>94803</v>
      </c>
      <c r="E37" s="15">
        <v>1617.58</v>
      </c>
      <c r="F37" s="16">
        <v>1.3899999999999999E-2</v>
      </c>
      <c r="G37" s="75"/>
    </row>
    <row r="38" spans="1:7" x14ac:dyDescent="0.25">
      <c r="A38" s="74" t="s">
        <v>1109</v>
      </c>
      <c r="B38" s="31" t="s">
        <v>1110</v>
      </c>
      <c r="C38" s="31" t="s">
        <v>494</v>
      </c>
      <c r="D38" s="14">
        <v>146537</v>
      </c>
      <c r="E38" s="15">
        <v>1611.83</v>
      </c>
      <c r="F38" s="16">
        <v>1.38E-2</v>
      </c>
      <c r="G38" s="75"/>
    </row>
    <row r="39" spans="1:7" x14ac:dyDescent="0.25">
      <c r="A39" s="74" t="s">
        <v>1025</v>
      </c>
      <c r="B39" s="31" t="s">
        <v>1026</v>
      </c>
      <c r="C39" s="31" t="s">
        <v>450</v>
      </c>
      <c r="D39" s="14">
        <v>1501991</v>
      </c>
      <c r="E39" s="15">
        <v>1599.62</v>
      </c>
      <c r="F39" s="16">
        <v>1.37E-2</v>
      </c>
      <c r="G39" s="75"/>
    </row>
    <row r="40" spans="1:7" x14ac:dyDescent="0.25">
      <c r="A40" s="74" t="s">
        <v>1052</v>
      </c>
      <c r="B40" s="31" t="s">
        <v>1053</v>
      </c>
      <c r="C40" s="31" t="s">
        <v>2025</v>
      </c>
      <c r="D40" s="14">
        <v>167885</v>
      </c>
      <c r="E40" s="15">
        <v>1565.19</v>
      </c>
      <c r="F40" s="16">
        <v>1.34E-2</v>
      </c>
      <c r="G40" s="75"/>
    </row>
    <row r="41" spans="1:7" x14ac:dyDescent="0.25">
      <c r="A41" s="74" t="s">
        <v>669</v>
      </c>
      <c r="B41" s="31" t="s">
        <v>670</v>
      </c>
      <c r="C41" s="31" t="s">
        <v>450</v>
      </c>
      <c r="D41" s="14">
        <v>204425</v>
      </c>
      <c r="E41" s="15">
        <v>1468.69</v>
      </c>
      <c r="F41" s="16">
        <v>1.26E-2</v>
      </c>
      <c r="G41" s="75"/>
    </row>
    <row r="42" spans="1:7" x14ac:dyDescent="0.25">
      <c r="A42" s="74" t="s">
        <v>1103</v>
      </c>
      <c r="B42" s="31" t="s">
        <v>1104</v>
      </c>
      <c r="C42" s="31" t="s">
        <v>2028</v>
      </c>
      <c r="D42" s="14">
        <v>324619</v>
      </c>
      <c r="E42" s="15">
        <v>1451.53</v>
      </c>
      <c r="F42" s="16">
        <v>1.2500000000000001E-2</v>
      </c>
      <c r="G42" s="75"/>
    </row>
    <row r="43" spans="1:7" x14ac:dyDescent="0.25">
      <c r="A43" s="74" t="s">
        <v>1165</v>
      </c>
      <c r="B43" s="31" t="s">
        <v>1166</v>
      </c>
      <c r="C43" s="31" t="s">
        <v>2033</v>
      </c>
      <c r="D43" s="14">
        <v>72737</v>
      </c>
      <c r="E43" s="15">
        <v>1425.72</v>
      </c>
      <c r="F43" s="16">
        <v>1.2200000000000001E-2</v>
      </c>
      <c r="G43" s="75"/>
    </row>
    <row r="44" spans="1:7" x14ac:dyDescent="0.25">
      <c r="A44" s="74" t="s">
        <v>1046</v>
      </c>
      <c r="B44" s="31" t="s">
        <v>1047</v>
      </c>
      <c r="C44" s="31" t="s">
        <v>615</v>
      </c>
      <c r="D44" s="14">
        <v>442013</v>
      </c>
      <c r="E44" s="15">
        <v>1419.97</v>
      </c>
      <c r="F44" s="16">
        <v>1.2200000000000001E-2</v>
      </c>
      <c r="G44" s="75"/>
    </row>
    <row r="45" spans="1:7" x14ac:dyDescent="0.25">
      <c r="A45" s="74" t="s">
        <v>1167</v>
      </c>
      <c r="B45" s="31" t="s">
        <v>1168</v>
      </c>
      <c r="C45" s="31" t="s">
        <v>2030</v>
      </c>
      <c r="D45" s="14">
        <v>34605</v>
      </c>
      <c r="E45" s="15">
        <v>1386.16</v>
      </c>
      <c r="F45" s="16">
        <v>1.1900000000000001E-2</v>
      </c>
      <c r="G45" s="75"/>
    </row>
    <row r="46" spans="1:7" x14ac:dyDescent="0.25">
      <c r="A46" s="74" t="s">
        <v>1127</v>
      </c>
      <c r="B46" s="31" t="s">
        <v>1128</v>
      </c>
      <c r="C46" s="31" t="s">
        <v>2024</v>
      </c>
      <c r="D46" s="14">
        <v>1996056</v>
      </c>
      <c r="E46" s="15">
        <v>1331.37</v>
      </c>
      <c r="F46" s="16">
        <v>1.14E-2</v>
      </c>
      <c r="G46" s="75"/>
    </row>
    <row r="47" spans="1:7" x14ac:dyDescent="0.25">
      <c r="A47" s="74" t="s">
        <v>1169</v>
      </c>
      <c r="B47" s="31" t="s">
        <v>1170</v>
      </c>
      <c r="C47" s="31" t="s">
        <v>465</v>
      </c>
      <c r="D47" s="14">
        <v>839743</v>
      </c>
      <c r="E47" s="15">
        <v>1292.3599999999999</v>
      </c>
      <c r="F47" s="16">
        <v>1.11E-2</v>
      </c>
      <c r="G47" s="75"/>
    </row>
    <row r="48" spans="1:7" x14ac:dyDescent="0.25">
      <c r="A48" s="74" t="s">
        <v>1171</v>
      </c>
      <c r="B48" s="31" t="s">
        <v>1172</v>
      </c>
      <c r="C48" s="31" t="s">
        <v>494</v>
      </c>
      <c r="D48" s="14">
        <v>489758</v>
      </c>
      <c r="E48" s="15">
        <v>1269.21</v>
      </c>
      <c r="F48" s="16">
        <v>1.09E-2</v>
      </c>
      <c r="G48" s="75"/>
    </row>
    <row r="49" spans="1:7" x14ac:dyDescent="0.25">
      <c r="A49" s="74" t="s">
        <v>1173</v>
      </c>
      <c r="B49" s="31" t="s">
        <v>1174</v>
      </c>
      <c r="C49" s="31" t="s">
        <v>2025</v>
      </c>
      <c r="D49" s="14">
        <v>1268713</v>
      </c>
      <c r="E49" s="15">
        <v>1262.3699999999999</v>
      </c>
      <c r="F49" s="16">
        <v>1.0800000000000001E-2</v>
      </c>
      <c r="G49" s="75"/>
    </row>
    <row r="50" spans="1:7" x14ac:dyDescent="0.25">
      <c r="A50" s="74" t="s">
        <v>1175</v>
      </c>
      <c r="B50" s="31" t="s">
        <v>1176</v>
      </c>
      <c r="C50" s="31" t="s">
        <v>2037</v>
      </c>
      <c r="D50" s="14">
        <v>44260</v>
      </c>
      <c r="E50" s="15">
        <v>1248.9100000000001</v>
      </c>
      <c r="F50" s="16">
        <v>1.0699999999999999E-2</v>
      </c>
      <c r="G50" s="75"/>
    </row>
    <row r="51" spans="1:7" x14ac:dyDescent="0.25">
      <c r="A51" s="74" t="s">
        <v>1177</v>
      </c>
      <c r="B51" s="31" t="s">
        <v>1178</v>
      </c>
      <c r="C51" s="31" t="s">
        <v>558</v>
      </c>
      <c r="D51" s="14">
        <v>202458</v>
      </c>
      <c r="E51" s="15">
        <v>1240.97</v>
      </c>
      <c r="F51" s="16">
        <v>1.0699999999999999E-2</v>
      </c>
      <c r="G51" s="75"/>
    </row>
    <row r="52" spans="1:7" x14ac:dyDescent="0.25">
      <c r="A52" s="74" t="s">
        <v>1179</v>
      </c>
      <c r="B52" s="31" t="s">
        <v>1180</v>
      </c>
      <c r="C52" s="31" t="s">
        <v>459</v>
      </c>
      <c r="D52" s="14">
        <v>326313</v>
      </c>
      <c r="E52" s="15">
        <v>1236.56</v>
      </c>
      <c r="F52" s="16">
        <v>1.06E-2</v>
      </c>
      <c r="G52" s="75"/>
    </row>
    <row r="53" spans="1:7" x14ac:dyDescent="0.25">
      <c r="A53" s="74" t="s">
        <v>512</v>
      </c>
      <c r="B53" s="31" t="s">
        <v>513</v>
      </c>
      <c r="C53" s="31" t="s">
        <v>514</v>
      </c>
      <c r="D53" s="14">
        <v>86415</v>
      </c>
      <c r="E53" s="15">
        <v>1223.1600000000001</v>
      </c>
      <c r="F53" s="16">
        <v>1.0500000000000001E-2</v>
      </c>
      <c r="G53" s="75"/>
    </row>
    <row r="54" spans="1:7" x14ac:dyDescent="0.25">
      <c r="A54" s="74" t="s">
        <v>1133</v>
      </c>
      <c r="B54" s="31" t="s">
        <v>1134</v>
      </c>
      <c r="C54" s="31" t="s">
        <v>465</v>
      </c>
      <c r="D54" s="14">
        <v>568314</v>
      </c>
      <c r="E54" s="15">
        <v>1200</v>
      </c>
      <c r="F54" s="16">
        <v>1.03E-2</v>
      </c>
      <c r="G54" s="75"/>
    </row>
    <row r="55" spans="1:7" x14ac:dyDescent="0.25">
      <c r="A55" s="74" t="s">
        <v>700</v>
      </c>
      <c r="B55" s="31" t="s">
        <v>701</v>
      </c>
      <c r="C55" s="31" t="s">
        <v>480</v>
      </c>
      <c r="D55" s="14">
        <v>79851</v>
      </c>
      <c r="E55" s="15">
        <v>1194.25</v>
      </c>
      <c r="F55" s="16">
        <v>1.03E-2</v>
      </c>
      <c r="G55" s="75"/>
    </row>
    <row r="56" spans="1:7" x14ac:dyDescent="0.25">
      <c r="A56" s="74" t="s">
        <v>620</v>
      </c>
      <c r="B56" s="31" t="s">
        <v>621</v>
      </c>
      <c r="C56" s="31" t="s">
        <v>1429</v>
      </c>
      <c r="D56" s="14">
        <v>198968</v>
      </c>
      <c r="E56" s="15">
        <v>1174.1099999999999</v>
      </c>
      <c r="F56" s="16">
        <v>1.01E-2</v>
      </c>
      <c r="G56" s="75"/>
    </row>
    <row r="57" spans="1:7" x14ac:dyDescent="0.25">
      <c r="A57" s="74" t="s">
        <v>1181</v>
      </c>
      <c r="B57" s="31" t="s">
        <v>1182</v>
      </c>
      <c r="C57" s="31" t="s">
        <v>615</v>
      </c>
      <c r="D57" s="14">
        <v>112840</v>
      </c>
      <c r="E57" s="15">
        <v>1150.18</v>
      </c>
      <c r="F57" s="16">
        <v>9.9000000000000008E-3</v>
      </c>
      <c r="G57" s="75"/>
    </row>
    <row r="58" spans="1:7" x14ac:dyDescent="0.25">
      <c r="A58" s="74" t="s">
        <v>1141</v>
      </c>
      <c r="B58" s="31" t="s">
        <v>1142</v>
      </c>
      <c r="C58" s="31" t="s">
        <v>480</v>
      </c>
      <c r="D58" s="14">
        <v>237636</v>
      </c>
      <c r="E58" s="15">
        <v>1128.4100000000001</v>
      </c>
      <c r="F58" s="16">
        <v>9.7000000000000003E-3</v>
      </c>
      <c r="G58" s="75"/>
    </row>
    <row r="59" spans="1:7" x14ac:dyDescent="0.25">
      <c r="A59" s="74" t="s">
        <v>769</v>
      </c>
      <c r="B59" s="31" t="s">
        <v>770</v>
      </c>
      <c r="C59" s="31" t="s">
        <v>2033</v>
      </c>
      <c r="D59" s="14">
        <v>51468</v>
      </c>
      <c r="E59" s="15">
        <v>1110.6500000000001</v>
      </c>
      <c r="F59" s="16">
        <v>9.4999999999999998E-3</v>
      </c>
      <c r="G59" s="75"/>
    </row>
    <row r="60" spans="1:7" x14ac:dyDescent="0.25">
      <c r="A60" s="74" t="s">
        <v>1183</v>
      </c>
      <c r="B60" s="31" t="s">
        <v>1184</v>
      </c>
      <c r="C60" s="31" t="s">
        <v>608</v>
      </c>
      <c r="D60" s="14">
        <v>222985</v>
      </c>
      <c r="E60" s="15">
        <v>1068.8800000000001</v>
      </c>
      <c r="F60" s="16">
        <v>9.1999999999999998E-3</v>
      </c>
      <c r="G60" s="75"/>
    </row>
    <row r="61" spans="1:7" x14ac:dyDescent="0.25">
      <c r="A61" s="74" t="s">
        <v>1123</v>
      </c>
      <c r="B61" s="31" t="s">
        <v>1124</v>
      </c>
      <c r="C61" s="31" t="s">
        <v>2033</v>
      </c>
      <c r="D61" s="14">
        <v>440917</v>
      </c>
      <c r="E61" s="15">
        <v>1060.4100000000001</v>
      </c>
      <c r="F61" s="16">
        <v>9.1000000000000004E-3</v>
      </c>
      <c r="G61" s="75"/>
    </row>
    <row r="62" spans="1:7" x14ac:dyDescent="0.25">
      <c r="A62" s="74" t="s">
        <v>1185</v>
      </c>
      <c r="B62" s="31" t="s">
        <v>1186</v>
      </c>
      <c r="C62" s="31" t="s">
        <v>514</v>
      </c>
      <c r="D62" s="14">
        <v>68990</v>
      </c>
      <c r="E62" s="15">
        <v>1060.2</v>
      </c>
      <c r="F62" s="16">
        <v>9.1000000000000004E-3</v>
      </c>
      <c r="G62" s="75"/>
    </row>
    <row r="63" spans="1:7" x14ac:dyDescent="0.25">
      <c r="A63" s="74" t="s">
        <v>1187</v>
      </c>
      <c r="B63" s="31" t="s">
        <v>1188</v>
      </c>
      <c r="C63" s="31" t="s">
        <v>2028</v>
      </c>
      <c r="D63" s="14">
        <v>69016</v>
      </c>
      <c r="E63" s="15">
        <v>1036.03</v>
      </c>
      <c r="F63" s="16">
        <v>8.8999999999999999E-3</v>
      </c>
      <c r="G63" s="75"/>
    </row>
    <row r="64" spans="1:7" x14ac:dyDescent="0.25">
      <c r="A64" s="74" t="s">
        <v>1189</v>
      </c>
      <c r="B64" s="31" t="s">
        <v>1190</v>
      </c>
      <c r="C64" s="31" t="s">
        <v>2024</v>
      </c>
      <c r="D64" s="14">
        <v>292438</v>
      </c>
      <c r="E64" s="15">
        <v>1009.93</v>
      </c>
      <c r="F64" s="16">
        <v>8.6999999999999994E-3</v>
      </c>
      <c r="G64" s="75"/>
    </row>
    <row r="65" spans="1:7" x14ac:dyDescent="0.25">
      <c r="A65" s="74" t="s">
        <v>1191</v>
      </c>
      <c r="B65" s="31" t="s">
        <v>1192</v>
      </c>
      <c r="C65" s="31" t="s">
        <v>2025</v>
      </c>
      <c r="D65" s="14">
        <v>305443</v>
      </c>
      <c r="E65" s="15">
        <v>1000.94</v>
      </c>
      <c r="F65" s="16">
        <v>8.6E-3</v>
      </c>
      <c r="G65" s="75"/>
    </row>
    <row r="66" spans="1:7" x14ac:dyDescent="0.25">
      <c r="A66" s="74" t="s">
        <v>1125</v>
      </c>
      <c r="B66" s="31" t="s">
        <v>1126</v>
      </c>
      <c r="C66" s="31" t="s">
        <v>2024</v>
      </c>
      <c r="D66" s="14">
        <v>187258</v>
      </c>
      <c r="E66" s="15">
        <v>944.9</v>
      </c>
      <c r="F66" s="16">
        <v>8.0999999999999996E-3</v>
      </c>
      <c r="G66" s="75"/>
    </row>
    <row r="67" spans="1:7" x14ac:dyDescent="0.25">
      <c r="A67" s="74" t="s">
        <v>1193</v>
      </c>
      <c r="B67" s="31" t="s">
        <v>1194</v>
      </c>
      <c r="C67" s="31" t="s">
        <v>1195</v>
      </c>
      <c r="D67" s="14">
        <v>208540</v>
      </c>
      <c r="E67" s="15">
        <v>889.94</v>
      </c>
      <c r="F67" s="16">
        <v>7.6E-3</v>
      </c>
      <c r="G67" s="75"/>
    </row>
    <row r="68" spans="1:7" x14ac:dyDescent="0.25">
      <c r="A68" s="74" t="s">
        <v>1196</v>
      </c>
      <c r="B68" s="31" t="s">
        <v>1197</v>
      </c>
      <c r="C68" s="31" t="s">
        <v>2033</v>
      </c>
      <c r="D68" s="14">
        <v>133142</v>
      </c>
      <c r="E68" s="15">
        <v>864.42</v>
      </c>
      <c r="F68" s="16">
        <v>7.4000000000000003E-3</v>
      </c>
      <c r="G68" s="75"/>
    </row>
    <row r="69" spans="1:7" x14ac:dyDescent="0.25">
      <c r="A69" s="74" t="s">
        <v>1198</v>
      </c>
      <c r="B69" s="31" t="s">
        <v>1199</v>
      </c>
      <c r="C69" s="31" t="s">
        <v>2028</v>
      </c>
      <c r="D69" s="14">
        <v>100536</v>
      </c>
      <c r="E69" s="15">
        <v>843.3</v>
      </c>
      <c r="F69" s="16">
        <v>7.1999999999999998E-3</v>
      </c>
      <c r="G69" s="75"/>
    </row>
    <row r="70" spans="1:7" x14ac:dyDescent="0.25">
      <c r="A70" s="74" t="s">
        <v>1200</v>
      </c>
      <c r="B70" s="31" t="s">
        <v>1201</v>
      </c>
      <c r="C70" s="31" t="s">
        <v>1429</v>
      </c>
      <c r="D70" s="14">
        <v>131622</v>
      </c>
      <c r="E70" s="15">
        <v>814.02</v>
      </c>
      <c r="F70" s="16">
        <v>7.0000000000000001E-3</v>
      </c>
      <c r="G70" s="75"/>
    </row>
    <row r="71" spans="1:7" x14ac:dyDescent="0.25">
      <c r="A71" s="74" t="s">
        <v>1202</v>
      </c>
      <c r="B71" s="31" t="s">
        <v>1203</v>
      </c>
      <c r="C71" s="31" t="s">
        <v>494</v>
      </c>
      <c r="D71" s="14">
        <v>919902</v>
      </c>
      <c r="E71" s="15">
        <v>789.28</v>
      </c>
      <c r="F71" s="16">
        <v>6.7999999999999996E-3</v>
      </c>
      <c r="G71" s="75"/>
    </row>
    <row r="72" spans="1:7" x14ac:dyDescent="0.25">
      <c r="A72" s="74" t="s">
        <v>1121</v>
      </c>
      <c r="B72" s="31" t="s">
        <v>1122</v>
      </c>
      <c r="C72" s="31" t="s">
        <v>615</v>
      </c>
      <c r="D72" s="14">
        <v>18126</v>
      </c>
      <c r="E72" s="15">
        <v>781.01</v>
      </c>
      <c r="F72" s="16">
        <v>6.7000000000000002E-3</v>
      </c>
      <c r="G72" s="75"/>
    </row>
    <row r="73" spans="1:7" x14ac:dyDescent="0.25">
      <c r="A73" s="74" t="s">
        <v>1204</v>
      </c>
      <c r="B73" s="31" t="s">
        <v>1205</v>
      </c>
      <c r="C73" s="31" t="s">
        <v>2030</v>
      </c>
      <c r="D73" s="14">
        <v>135642</v>
      </c>
      <c r="E73" s="15">
        <v>706.63</v>
      </c>
      <c r="F73" s="16">
        <v>6.1000000000000004E-3</v>
      </c>
      <c r="G73" s="75"/>
    </row>
    <row r="74" spans="1:7" x14ac:dyDescent="0.25">
      <c r="A74" s="74" t="s">
        <v>1206</v>
      </c>
      <c r="B74" s="31" t="s">
        <v>1207</v>
      </c>
      <c r="C74" s="31" t="s">
        <v>494</v>
      </c>
      <c r="D74" s="14">
        <v>128463</v>
      </c>
      <c r="E74" s="15">
        <v>605.12</v>
      </c>
      <c r="F74" s="16">
        <v>5.1999999999999998E-3</v>
      </c>
      <c r="G74" s="75"/>
    </row>
    <row r="75" spans="1:7" x14ac:dyDescent="0.25">
      <c r="A75" s="74" t="s">
        <v>1208</v>
      </c>
      <c r="B75" s="31" t="s">
        <v>1209</v>
      </c>
      <c r="C75" s="31" t="s">
        <v>677</v>
      </c>
      <c r="D75" s="14">
        <v>61461</v>
      </c>
      <c r="E75" s="15">
        <v>594.29999999999995</v>
      </c>
      <c r="F75" s="16">
        <v>5.1000000000000004E-3</v>
      </c>
      <c r="G75" s="75"/>
    </row>
    <row r="76" spans="1:7" x14ac:dyDescent="0.25">
      <c r="A76" s="74" t="s">
        <v>1210</v>
      </c>
      <c r="B76" s="31" t="s">
        <v>1211</v>
      </c>
      <c r="C76" s="31" t="s">
        <v>2030</v>
      </c>
      <c r="D76" s="14">
        <v>236382</v>
      </c>
      <c r="E76" s="15">
        <v>588.35</v>
      </c>
      <c r="F76" s="16">
        <v>5.0000000000000001E-3</v>
      </c>
      <c r="G76" s="75"/>
    </row>
    <row r="77" spans="1:7" x14ac:dyDescent="0.25">
      <c r="A77" s="74" t="s">
        <v>1212</v>
      </c>
      <c r="B77" s="31" t="s">
        <v>1213</v>
      </c>
      <c r="C77" s="31" t="s">
        <v>450</v>
      </c>
      <c r="D77" s="14">
        <v>93300</v>
      </c>
      <c r="E77" s="15">
        <v>577.11</v>
      </c>
      <c r="F77" s="16">
        <v>5.0000000000000001E-3</v>
      </c>
      <c r="G77" s="75"/>
    </row>
    <row r="78" spans="1:7" x14ac:dyDescent="0.25">
      <c r="A78" s="74" t="s">
        <v>682</v>
      </c>
      <c r="B78" s="31" t="s">
        <v>683</v>
      </c>
      <c r="C78" s="31" t="s">
        <v>2030</v>
      </c>
      <c r="D78" s="14">
        <v>58897</v>
      </c>
      <c r="E78" s="15">
        <v>573.86</v>
      </c>
      <c r="F78" s="16">
        <v>4.8999999999999998E-3</v>
      </c>
      <c r="G78" s="75"/>
    </row>
    <row r="79" spans="1:7" x14ac:dyDescent="0.25">
      <c r="A79" s="74" t="s">
        <v>567</v>
      </c>
      <c r="B79" s="31" t="s">
        <v>568</v>
      </c>
      <c r="C79" s="31" t="s">
        <v>2030</v>
      </c>
      <c r="D79" s="14">
        <v>24767</v>
      </c>
      <c r="E79" s="15">
        <v>555.71</v>
      </c>
      <c r="F79" s="16">
        <v>4.7999999999999996E-3</v>
      </c>
      <c r="G79" s="75"/>
    </row>
    <row r="80" spans="1:7" x14ac:dyDescent="0.25">
      <c r="A80" s="74" t="s">
        <v>1214</v>
      </c>
      <c r="B80" s="31" t="s">
        <v>1215</v>
      </c>
      <c r="C80" s="31" t="s">
        <v>2030</v>
      </c>
      <c r="D80" s="14">
        <v>26236</v>
      </c>
      <c r="E80" s="15">
        <v>512.44000000000005</v>
      </c>
      <c r="F80" s="16">
        <v>4.4000000000000003E-3</v>
      </c>
      <c r="G80" s="75"/>
    </row>
    <row r="81" spans="1:7" x14ac:dyDescent="0.25">
      <c r="A81" s="74" t="s">
        <v>1216</v>
      </c>
      <c r="B81" s="31" t="s">
        <v>1217</v>
      </c>
      <c r="C81" s="31" t="s">
        <v>2027</v>
      </c>
      <c r="D81" s="14">
        <v>121901</v>
      </c>
      <c r="E81" s="15">
        <v>407.27</v>
      </c>
      <c r="F81" s="16">
        <v>3.5000000000000001E-3</v>
      </c>
      <c r="G81" s="75"/>
    </row>
    <row r="82" spans="1:7" x14ac:dyDescent="0.25">
      <c r="A82" s="74" t="s">
        <v>755</v>
      </c>
      <c r="B82" s="31" t="s">
        <v>756</v>
      </c>
      <c r="C82" s="31" t="s">
        <v>480</v>
      </c>
      <c r="D82" s="14">
        <v>14658</v>
      </c>
      <c r="E82" s="15">
        <v>356.38</v>
      </c>
      <c r="F82" s="16">
        <v>3.0999999999999999E-3</v>
      </c>
      <c r="G82" s="75"/>
    </row>
    <row r="83" spans="1:7" x14ac:dyDescent="0.25">
      <c r="A83" s="74" t="s">
        <v>1062</v>
      </c>
      <c r="B83" s="31" t="s">
        <v>1063</v>
      </c>
      <c r="C83" s="31" t="s">
        <v>2025</v>
      </c>
      <c r="D83" s="14">
        <v>487278</v>
      </c>
      <c r="E83" s="15">
        <v>314.05</v>
      </c>
      <c r="F83" s="16">
        <v>2.7000000000000001E-3</v>
      </c>
      <c r="G83" s="75"/>
    </row>
    <row r="84" spans="1:7" x14ac:dyDescent="0.25">
      <c r="A84" s="74" t="s">
        <v>1218</v>
      </c>
      <c r="B84" s="31" t="s">
        <v>1219</v>
      </c>
      <c r="C84" s="31" t="s">
        <v>558</v>
      </c>
      <c r="D84" s="14">
        <v>28476</v>
      </c>
      <c r="E84" s="15">
        <v>149.5</v>
      </c>
      <c r="F84" s="16">
        <v>1.2999999999999999E-3</v>
      </c>
      <c r="G84" s="75"/>
    </row>
    <row r="85" spans="1:7" x14ac:dyDescent="0.25">
      <c r="A85" s="76" t="s">
        <v>90</v>
      </c>
      <c r="B85" s="32"/>
      <c r="C85" s="32"/>
      <c r="D85" s="18"/>
      <c r="E85" s="35">
        <v>111105.16</v>
      </c>
      <c r="F85" s="36">
        <v>0.9536</v>
      </c>
      <c r="G85" s="77"/>
    </row>
    <row r="86" spans="1:7" x14ac:dyDescent="0.25">
      <c r="A86" s="76" t="s">
        <v>815</v>
      </c>
      <c r="B86" s="31"/>
      <c r="C86" s="31"/>
      <c r="D86" s="14"/>
      <c r="E86" s="15"/>
      <c r="F86" s="16"/>
      <c r="G86" s="75"/>
    </row>
    <row r="87" spans="1:7" x14ac:dyDescent="0.25">
      <c r="A87" s="76" t="s">
        <v>90</v>
      </c>
      <c r="B87" s="31"/>
      <c r="C87" s="31"/>
      <c r="D87" s="14"/>
      <c r="E87" s="37" t="s">
        <v>85</v>
      </c>
      <c r="F87" s="38" t="s">
        <v>85</v>
      </c>
      <c r="G87" s="75"/>
    </row>
    <row r="88" spans="1:7" x14ac:dyDescent="0.25">
      <c r="A88" s="78" t="s">
        <v>93</v>
      </c>
      <c r="B88" s="79"/>
      <c r="C88" s="79"/>
      <c r="D88" s="80"/>
      <c r="E88" s="28">
        <v>111105.16</v>
      </c>
      <c r="F88" s="29">
        <v>0.9536</v>
      </c>
      <c r="G88" s="77"/>
    </row>
    <row r="89" spans="1:7" x14ac:dyDescent="0.25">
      <c r="A89" s="74"/>
      <c r="B89" s="31"/>
      <c r="C89" s="31"/>
      <c r="D89" s="14"/>
      <c r="E89" s="15"/>
      <c r="F89" s="16"/>
      <c r="G89" s="75"/>
    </row>
    <row r="90" spans="1:7" x14ac:dyDescent="0.25">
      <c r="A90" s="74"/>
      <c r="B90" s="31"/>
      <c r="C90" s="31"/>
      <c r="D90" s="14"/>
      <c r="E90" s="15"/>
      <c r="F90" s="16"/>
      <c r="G90" s="75"/>
    </row>
    <row r="91" spans="1:7" x14ac:dyDescent="0.25">
      <c r="A91" s="76" t="s">
        <v>110</v>
      </c>
      <c r="B91" s="31"/>
      <c r="C91" s="31"/>
      <c r="D91" s="14"/>
      <c r="E91" s="15"/>
      <c r="F91" s="16"/>
      <c r="G91" s="75"/>
    </row>
    <row r="92" spans="1:7" x14ac:dyDescent="0.25">
      <c r="A92" s="74" t="s">
        <v>111</v>
      </c>
      <c r="B92" s="31"/>
      <c r="C92" s="31"/>
      <c r="D92" s="14"/>
      <c r="E92" s="15">
        <v>5497.84</v>
      </c>
      <c r="F92" s="16">
        <v>4.7199999999999999E-2</v>
      </c>
      <c r="G92" s="75">
        <v>3.5790000000000002E-2</v>
      </c>
    </row>
    <row r="93" spans="1:7" x14ac:dyDescent="0.25">
      <c r="A93" s="76" t="s">
        <v>90</v>
      </c>
      <c r="B93" s="32"/>
      <c r="C93" s="32"/>
      <c r="D93" s="18"/>
      <c r="E93" s="35">
        <v>5497.84</v>
      </c>
      <c r="F93" s="36">
        <v>4.7199999999999999E-2</v>
      </c>
      <c r="G93" s="77"/>
    </row>
    <row r="94" spans="1:7" x14ac:dyDescent="0.25">
      <c r="A94" s="74"/>
      <c r="B94" s="31"/>
      <c r="C94" s="31"/>
      <c r="D94" s="14"/>
      <c r="E94" s="15"/>
      <c r="F94" s="16"/>
      <c r="G94" s="75"/>
    </row>
    <row r="95" spans="1:7" x14ac:dyDescent="0.25">
      <c r="A95" s="78" t="s">
        <v>93</v>
      </c>
      <c r="B95" s="79"/>
      <c r="C95" s="79"/>
      <c r="D95" s="80"/>
      <c r="E95" s="35">
        <v>5497.84</v>
      </c>
      <c r="F95" s="36">
        <v>4.7199999999999999E-2</v>
      </c>
      <c r="G95" s="77"/>
    </row>
    <row r="96" spans="1:7" x14ac:dyDescent="0.25">
      <c r="A96" s="74" t="s">
        <v>112</v>
      </c>
      <c r="B96" s="31"/>
      <c r="C96" s="31"/>
      <c r="D96" s="14"/>
      <c r="E96" s="15">
        <v>0.53908990000000001</v>
      </c>
      <c r="F96" s="53" t="s">
        <v>2022</v>
      </c>
      <c r="G96" s="75"/>
    </row>
    <row r="97" spans="1:7" x14ac:dyDescent="0.25">
      <c r="A97" s="74" t="s">
        <v>113</v>
      </c>
      <c r="B97" s="31"/>
      <c r="C97" s="31"/>
      <c r="D97" s="14"/>
      <c r="E97" s="24">
        <v>-93.349089899999996</v>
      </c>
      <c r="F97" s="25">
        <v>-8.0400000000000003E-4</v>
      </c>
      <c r="G97" s="75">
        <v>3.5790000000000002E-2</v>
      </c>
    </row>
    <row r="98" spans="1:7" x14ac:dyDescent="0.25">
      <c r="A98" s="81" t="s">
        <v>114</v>
      </c>
      <c r="B98" s="34"/>
      <c r="C98" s="34"/>
      <c r="D98" s="27"/>
      <c r="E98" s="28">
        <v>116510.19</v>
      </c>
      <c r="F98" s="29">
        <v>1</v>
      </c>
      <c r="G98" s="82"/>
    </row>
    <row r="99" spans="1:7" x14ac:dyDescent="0.25">
      <c r="A99" s="83"/>
      <c r="B99" s="61"/>
      <c r="C99" s="61"/>
      <c r="D99" s="62"/>
      <c r="E99" s="63"/>
      <c r="F99" s="64"/>
      <c r="G99" s="98"/>
    </row>
    <row r="100" spans="1:7" x14ac:dyDescent="0.25">
      <c r="A100" s="83" t="s">
        <v>2023</v>
      </c>
      <c r="B100" s="61"/>
      <c r="C100" s="61"/>
      <c r="D100" s="62"/>
      <c r="E100" s="63"/>
      <c r="F100" s="64"/>
      <c r="G100" s="98"/>
    </row>
    <row r="101" spans="1:7" x14ac:dyDescent="0.25">
      <c r="A101" s="54"/>
      <c r="B101" s="56"/>
      <c r="C101" s="56"/>
      <c r="D101" s="56"/>
      <c r="E101" s="56"/>
      <c r="F101" s="56"/>
      <c r="G101" s="66"/>
    </row>
    <row r="102" spans="1:7" x14ac:dyDescent="0.25">
      <c r="A102" s="83" t="s">
        <v>1476</v>
      </c>
      <c r="B102" s="56"/>
      <c r="C102" s="56"/>
      <c r="D102" s="56"/>
      <c r="E102" s="56"/>
      <c r="F102" s="56"/>
      <c r="G102" s="66"/>
    </row>
    <row r="103" spans="1:7" x14ac:dyDescent="0.25">
      <c r="A103" s="84" t="s">
        <v>1477</v>
      </c>
      <c r="B103" s="85" t="s">
        <v>85</v>
      </c>
      <c r="C103" s="56"/>
      <c r="D103" s="56"/>
      <c r="E103" s="56"/>
      <c r="F103" s="56"/>
      <c r="G103" s="66"/>
    </row>
    <row r="104" spans="1:7" x14ac:dyDescent="0.25">
      <c r="A104" s="54" t="s">
        <v>1626</v>
      </c>
      <c r="B104" s="56"/>
      <c r="C104" s="56"/>
      <c r="D104" s="56"/>
      <c r="E104" s="56"/>
      <c r="F104" s="56"/>
      <c r="G104" s="66"/>
    </row>
    <row r="105" spans="1:7" x14ac:dyDescent="0.25">
      <c r="A105" s="54" t="s">
        <v>1478</v>
      </c>
      <c r="B105" s="85" t="s">
        <v>1479</v>
      </c>
      <c r="C105" s="85" t="s">
        <v>1479</v>
      </c>
      <c r="D105" s="56"/>
      <c r="E105" s="56"/>
      <c r="F105" s="56"/>
      <c r="G105" s="66"/>
    </row>
    <row r="106" spans="1:7" x14ac:dyDescent="0.25">
      <c r="A106" s="54"/>
      <c r="B106" s="86">
        <v>44469</v>
      </c>
      <c r="C106" s="86">
        <v>44651</v>
      </c>
      <c r="D106" s="56"/>
      <c r="E106" s="56"/>
      <c r="F106" s="56"/>
      <c r="G106" s="66"/>
    </row>
    <row r="107" spans="1:7" x14ac:dyDescent="0.25">
      <c r="A107" s="54" t="s">
        <v>1483</v>
      </c>
      <c r="B107" s="56">
        <v>24.324999999999999</v>
      </c>
      <c r="C107" s="56">
        <v>25.544</v>
      </c>
      <c r="D107" s="56"/>
      <c r="E107" s="59"/>
      <c r="F107" s="56"/>
      <c r="G107" s="87"/>
    </row>
    <row r="108" spans="1:7" x14ac:dyDescent="0.25">
      <c r="A108" s="54" t="s">
        <v>1484</v>
      </c>
      <c r="B108" s="103">
        <v>22.97</v>
      </c>
      <c r="C108" s="56">
        <v>22.347000000000001</v>
      </c>
      <c r="D108" s="56"/>
      <c r="E108" s="59"/>
      <c r="F108" s="56"/>
      <c r="G108" s="87"/>
    </row>
    <row r="109" spans="1:7" x14ac:dyDescent="0.25">
      <c r="A109" s="54" t="s">
        <v>1503</v>
      </c>
      <c r="B109" s="56">
        <v>23.341999999999999</v>
      </c>
      <c r="C109" s="56">
        <v>24.306000000000001</v>
      </c>
      <c r="D109" s="56"/>
      <c r="E109" s="59"/>
      <c r="F109" s="56"/>
      <c r="G109" s="87"/>
    </row>
    <row r="110" spans="1:7" x14ac:dyDescent="0.25">
      <c r="A110" s="54" t="s">
        <v>1504</v>
      </c>
      <c r="B110" s="56">
        <v>21.997</v>
      </c>
      <c r="C110" s="56">
        <v>21.120999999999999</v>
      </c>
      <c r="D110" s="56"/>
      <c r="E110" s="59"/>
      <c r="F110" s="56"/>
      <c r="G110" s="87"/>
    </row>
    <row r="111" spans="1:7" x14ac:dyDescent="0.25">
      <c r="A111" s="54"/>
      <c r="B111" s="56"/>
      <c r="C111" s="56"/>
      <c r="D111" s="56"/>
      <c r="E111" s="59"/>
      <c r="F111" s="56"/>
      <c r="G111" s="87"/>
    </row>
    <row r="112" spans="1:7" x14ac:dyDescent="0.25">
      <c r="A112" s="54" t="s">
        <v>2007</v>
      </c>
      <c r="B112" s="56"/>
      <c r="C112" s="56"/>
      <c r="D112" s="56"/>
      <c r="E112" s="56"/>
      <c r="F112" s="56"/>
      <c r="G112" s="66"/>
    </row>
    <row r="113" spans="1:7" x14ac:dyDescent="0.25">
      <c r="A113" s="54"/>
      <c r="B113" s="56"/>
      <c r="C113" s="56"/>
      <c r="D113" s="56"/>
      <c r="E113" s="56"/>
      <c r="F113" s="56"/>
      <c r="G113" s="66"/>
    </row>
    <row r="114" spans="1:7" x14ac:dyDescent="0.25">
      <c r="A114" s="93" t="s">
        <v>1507</v>
      </c>
      <c r="B114" s="94" t="s">
        <v>1508</v>
      </c>
      <c r="C114" s="95" t="s">
        <v>2018</v>
      </c>
      <c r="D114" s="95" t="s">
        <v>2019</v>
      </c>
      <c r="E114" s="56"/>
      <c r="F114" s="56"/>
      <c r="G114" s="66"/>
    </row>
    <row r="115" spans="1:7" x14ac:dyDescent="0.25">
      <c r="A115" s="96" t="s">
        <v>1515</v>
      </c>
      <c r="B115" s="97"/>
      <c r="C115" s="97">
        <v>1.75</v>
      </c>
      <c r="D115" s="97">
        <v>1.75</v>
      </c>
      <c r="E115" s="56"/>
      <c r="F115" s="56"/>
      <c r="G115" s="66"/>
    </row>
    <row r="116" spans="1:7" x14ac:dyDescent="0.25">
      <c r="A116" s="96" t="s">
        <v>1513</v>
      </c>
      <c r="B116" s="97"/>
      <c r="C116" s="97">
        <v>1.75</v>
      </c>
      <c r="D116" s="97">
        <v>1.75</v>
      </c>
      <c r="E116" s="56"/>
      <c r="F116" s="56"/>
      <c r="G116" s="66"/>
    </row>
    <row r="117" spans="1:7" x14ac:dyDescent="0.25">
      <c r="A117" s="54"/>
      <c r="B117" s="56"/>
      <c r="C117" s="56"/>
      <c r="D117" s="56"/>
      <c r="E117" s="56"/>
      <c r="F117" s="56"/>
      <c r="G117" s="66"/>
    </row>
    <row r="118" spans="1:7" x14ac:dyDescent="0.25">
      <c r="A118" s="54" t="s">
        <v>2008</v>
      </c>
      <c r="B118" s="85" t="s">
        <v>85</v>
      </c>
      <c r="C118" s="56"/>
      <c r="D118" s="56"/>
      <c r="E118" s="56"/>
      <c r="F118" s="56"/>
      <c r="G118" s="66"/>
    </row>
    <row r="119" spans="1:7" ht="16.5" customHeight="1" x14ac:dyDescent="0.25">
      <c r="A119" s="84" t="s">
        <v>2009</v>
      </c>
      <c r="B119" s="85" t="s">
        <v>85</v>
      </c>
      <c r="C119" s="56"/>
      <c r="D119" s="56"/>
      <c r="E119" s="56"/>
      <c r="F119" s="56"/>
      <c r="G119" s="66"/>
    </row>
    <row r="120" spans="1:7" x14ac:dyDescent="0.25">
      <c r="A120" s="84" t="s">
        <v>2010</v>
      </c>
      <c r="B120" s="85" t="s">
        <v>85</v>
      </c>
      <c r="C120" s="56"/>
      <c r="D120" s="56"/>
      <c r="E120" s="56"/>
      <c r="F120" s="56"/>
      <c r="G120" s="66"/>
    </row>
    <row r="121" spans="1:7" x14ac:dyDescent="0.25">
      <c r="A121" s="54" t="s">
        <v>1529</v>
      </c>
      <c r="B121" s="88">
        <v>0.309699</v>
      </c>
      <c r="C121" s="56"/>
      <c r="D121" s="56"/>
      <c r="E121" s="56"/>
      <c r="F121" s="56"/>
      <c r="G121" s="66"/>
    </row>
    <row r="122" spans="1:7" ht="30" x14ac:dyDescent="0.25">
      <c r="A122" s="84" t="s">
        <v>2011</v>
      </c>
      <c r="B122" s="85" t="s">
        <v>85</v>
      </c>
      <c r="C122" s="56"/>
      <c r="D122" s="56"/>
      <c r="E122" s="56"/>
      <c r="F122" s="56"/>
      <c r="G122" s="66"/>
    </row>
    <row r="123" spans="1:7" ht="30" x14ac:dyDescent="0.25">
      <c r="A123" s="84" t="s">
        <v>1495</v>
      </c>
      <c r="B123" s="85" t="s">
        <v>85</v>
      </c>
      <c r="C123" s="56"/>
      <c r="D123" s="56"/>
      <c r="E123" s="56"/>
      <c r="F123" s="56"/>
      <c r="G123" s="66"/>
    </row>
    <row r="124" spans="1:7" x14ac:dyDescent="0.25">
      <c r="A124" s="54" t="s">
        <v>1607</v>
      </c>
      <c r="B124" s="85" t="s">
        <v>85</v>
      </c>
      <c r="C124" s="56"/>
      <c r="D124" s="56"/>
      <c r="E124" s="56"/>
      <c r="F124" s="56"/>
      <c r="G124" s="66"/>
    </row>
    <row r="125" spans="1:7" x14ac:dyDescent="0.25">
      <c r="A125" s="54" t="s">
        <v>1608</v>
      </c>
      <c r="B125" s="85" t="s">
        <v>85</v>
      </c>
      <c r="C125" s="56"/>
      <c r="D125" s="56"/>
      <c r="E125" s="56"/>
      <c r="F125" s="56"/>
      <c r="G125" s="66"/>
    </row>
    <row r="126" spans="1:7" ht="15.75" thickBot="1" x14ac:dyDescent="0.3">
      <c r="A126" s="89"/>
      <c r="B126" s="90"/>
      <c r="C126" s="90"/>
      <c r="D126" s="90"/>
      <c r="E126" s="90"/>
      <c r="F126" s="90"/>
      <c r="G126" s="91"/>
    </row>
    <row r="129" spans="1:4" ht="30" x14ac:dyDescent="0.25">
      <c r="A129" s="107" t="s">
        <v>2042</v>
      </c>
      <c r="B129" s="108" t="s">
        <v>2043</v>
      </c>
      <c r="C129" s="108" t="s">
        <v>2044</v>
      </c>
      <c r="D129" s="109" t="s">
        <v>2045</v>
      </c>
    </row>
    <row r="130" spans="1:4" ht="42" customHeight="1" x14ac:dyDescent="0.25">
      <c r="A130" s="110" t="str">
        <f>HYPERLINK("[EDEL_Portfolio Monthly 31-Mar-2022.xlsx]EEESCF!A1","Edelweiss Small Cap Fund")</f>
        <v>Edelweiss Small Cap Fund</v>
      </c>
      <c r="B130" s="111"/>
      <c r="C130" s="111" t="s">
        <v>2064</v>
      </c>
      <c r="D130" s="111"/>
    </row>
  </sheetData>
  <mergeCells count="2">
    <mergeCell ref="A3:G3"/>
    <mergeCell ref="A4:G4"/>
  </mergeCells>
  <pageMargins left="0.7" right="0.7" top="0.75" bottom="0.75" header="0.3" footer="0.3"/>
  <pageSetup orientation="portrait" horizontalDpi="300" verticalDpi="30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218"/>
  <sheetViews>
    <sheetView showGridLines="0" topLeftCell="B1" workbookViewId="0">
      <pane ySplit="6" topLeftCell="A37"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45.5703125" bestFit="1"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51</v>
      </c>
      <c r="B3" s="139"/>
      <c r="C3" s="139"/>
      <c r="D3" s="139"/>
      <c r="E3" s="139"/>
      <c r="F3" s="139"/>
      <c r="G3" s="140"/>
      <c r="H3" s="46" t="str">
        <f>HYPERLINK("[EDEL_Portfolio HY 31032022.xlsx]Index!A1","Index")</f>
        <v>Index</v>
      </c>
    </row>
    <row r="4" spans="1:8" ht="19.5" customHeight="1" x14ac:dyDescent="0.25">
      <c r="A4" s="141" t="s">
        <v>52</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6" t="s">
        <v>84</v>
      </c>
      <c r="B8" s="31"/>
      <c r="C8" s="31"/>
      <c r="D8" s="14"/>
      <c r="E8" s="15"/>
      <c r="F8" s="16"/>
      <c r="G8" s="75"/>
    </row>
    <row r="9" spans="1:8" x14ac:dyDescent="0.25">
      <c r="A9" s="76" t="s">
        <v>435</v>
      </c>
      <c r="B9" s="31"/>
      <c r="C9" s="31"/>
      <c r="D9" s="14"/>
      <c r="E9" s="15"/>
      <c r="F9" s="16"/>
      <c r="G9" s="75"/>
    </row>
    <row r="10" spans="1:8" x14ac:dyDescent="0.25">
      <c r="A10" s="74" t="s">
        <v>1017</v>
      </c>
      <c r="B10" s="31" t="s">
        <v>1018</v>
      </c>
      <c r="C10" s="31" t="s">
        <v>2032</v>
      </c>
      <c r="D10" s="14">
        <v>166104</v>
      </c>
      <c r="E10" s="15">
        <v>2808.57</v>
      </c>
      <c r="F10" s="16">
        <v>8.7400000000000005E-2</v>
      </c>
      <c r="G10" s="75"/>
    </row>
    <row r="11" spans="1:8" x14ac:dyDescent="0.25">
      <c r="A11" s="74" t="s">
        <v>438</v>
      </c>
      <c r="B11" s="31" t="s">
        <v>439</v>
      </c>
      <c r="C11" s="31" t="s">
        <v>440</v>
      </c>
      <c r="D11" s="14">
        <v>96880</v>
      </c>
      <c r="E11" s="15">
        <v>2552.5500000000002</v>
      </c>
      <c r="F11" s="16">
        <v>7.9399999999999998E-2</v>
      </c>
      <c r="G11" s="75"/>
    </row>
    <row r="12" spans="1:8" x14ac:dyDescent="0.25">
      <c r="A12" s="74" t="s">
        <v>436</v>
      </c>
      <c r="B12" s="31" t="s">
        <v>437</v>
      </c>
      <c r="C12" s="31" t="s">
        <v>2024</v>
      </c>
      <c r="D12" s="14">
        <v>152500</v>
      </c>
      <c r="E12" s="15">
        <v>1180.6600000000001</v>
      </c>
      <c r="F12" s="16">
        <v>3.6700000000000003E-2</v>
      </c>
      <c r="G12" s="75"/>
    </row>
    <row r="13" spans="1:8" x14ac:dyDescent="0.25">
      <c r="A13" s="74" t="s">
        <v>622</v>
      </c>
      <c r="B13" s="31" t="s">
        <v>623</v>
      </c>
      <c r="C13" s="31" t="s">
        <v>465</v>
      </c>
      <c r="D13" s="14">
        <v>157448</v>
      </c>
      <c r="E13" s="15">
        <v>1149.8399999999999</v>
      </c>
      <c r="F13" s="16">
        <v>3.5799999999999998E-2</v>
      </c>
      <c r="G13" s="75"/>
    </row>
    <row r="14" spans="1:8" x14ac:dyDescent="0.25">
      <c r="A14" s="74" t="s">
        <v>470</v>
      </c>
      <c r="B14" s="31" t="s">
        <v>471</v>
      </c>
      <c r="C14" s="31" t="s">
        <v>456</v>
      </c>
      <c r="D14" s="14">
        <v>73847</v>
      </c>
      <c r="E14" s="15">
        <v>965.33</v>
      </c>
      <c r="F14" s="16">
        <v>0.03</v>
      </c>
      <c r="G14" s="75"/>
    </row>
    <row r="15" spans="1:8" x14ac:dyDescent="0.25">
      <c r="A15" s="74" t="s">
        <v>472</v>
      </c>
      <c r="B15" s="31" t="s">
        <v>473</v>
      </c>
      <c r="C15" s="31" t="s">
        <v>2027</v>
      </c>
      <c r="D15" s="14">
        <v>47410</v>
      </c>
      <c r="E15" s="15">
        <v>904.04</v>
      </c>
      <c r="F15" s="16">
        <v>2.81E-2</v>
      </c>
      <c r="G15" s="75"/>
    </row>
    <row r="16" spans="1:8" x14ac:dyDescent="0.25">
      <c r="A16" s="74" t="s">
        <v>446</v>
      </c>
      <c r="B16" s="31" t="s">
        <v>447</v>
      </c>
      <c r="C16" s="31" t="s">
        <v>2026</v>
      </c>
      <c r="D16" s="14">
        <v>34000</v>
      </c>
      <c r="E16" s="15">
        <v>685.02</v>
      </c>
      <c r="F16" s="16">
        <v>2.1299999999999999E-2</v>
      </c>
      <c r="G16" s="75"/>
    </row>
    <row r="17" spans="1:7" x14ac:dyDescent="0.25">
      <c r="A17" s="74" t="s">
        <v>537</v>
      </c>
      <c r="B17" s="31" t="s">
        <v>538</v>
      </c>
      <c r="C17" s="31" t="s">
        <v>465</v>
      </c>
      <c r="D17" s="14">
        <v>132701</v>
      </c>
      <c r="E17" s="15">
        <v>654.95000000000005</v>
      </c>
      <c r="F17" s="16">
        <v>2.0400000000000001E-2</v>
      </c>
      <c r="G17" s="75"/>
    </row>
    <row r="18" spans="1:7" x14ac:dyDescent="0.25">
      <c r="A18" s="74" t="s">
        <v>490</v>
      </c>
      <c r="B18" s="31" t="s">
        <v>491</v>
      </c>
      <c r="C18" s="31" t="s">
        <v>450</v>
      </c>
      <c r="D18" s="14">
        <v>8794</v>
      </c>
      <c r="E18" s="15">
        <v>638.44000000000005</v>
      </c>
      <c r="F18" s="16">
        <v>1.9900000000000001E-2</v>
      </c>
      <c r="G18" s="75"/>
    </row>
    <row r="19" spans="1:7" x14ac:dyDescent="0.25">
      <c r="A19" s="74" t="s">
        <v>481</v>
      </c>
      <c r="B19" s="31" t="s">
        <v>482</v>
      </c>
      <c r="C19" s="31" t="s">
        <v>465</v>
      </c>
      <c r="D19" s="14">
        <v>81311</v>
      </c>
      <c r="E19" s="15">
        <v>618.9</v>
      </c>
      <c r="F19" s="16">
        <v>1.9300000000000001E-2</v>
      </c>
      <c r="G19" s="75"/>
    </row>
    <row r="20" spans="1:7" x14ac:dyDescent="0.25">
      <c r="A20" s="74" t="s">
        <v>441</v>
      </c>
      <c r="B20" s="31" t="s">
        <v>442</v>
      </c>
      <c r="C20" s="31" t="s">
        <v>443</v>
      </c>
      <c r="D20" s="14">
        <v>76428</v>
      </c>
      <c r="E20" s="15">
        <v>576.99</v>
      </c>
      <c r="F20" s="16">
        <v>1.7999999999999999E-2</v>
      </c>
      <c r="G20" s="75"/>
    </row>
    <row r="21" spans="1:7" x14ac:dyDescent="0.25">
      <c r="A21" s="74" t="s">
        <v>515</v>
      </c>
      <c r="B21" s="31" t="s">
        <v>516</v>
      </c>
      <c r="C21" s="31" t="s">
        <v>453</v>
      </c>
      <c r="D21" s="14">
        <v>102000</v>
      </c>
      <c r="E21" s="15">
        <v>499.65</v>
      </c>
      <c r="F21" s="16">
        <v>1.55E-2</v>
      </c>
      <c r="G21" s="75"/>
    </row>
    <row r="22" spans="1:7" x14ac:dyDescent="0.25">
      <c r="A22" s="74" t="s">
        <v>492</v>
      </c>
      <c r="B22" s="31" t="s">
        <v>493</v>
      </c>
      <c r="C22" s="31" t="s">
        <v>2029</v>
      </c>
      <c r="D22" s="14">
        <v>28005</v>
      </c>
      <c r="E22" s="15">
        <v>495.03</v>
      </c>
      <c r="F22" s="16">
        <v>1.54E-2</v>
      </c>
      <c r="G22" s="75"/>
    </row>
    <row r="23" spans="1:7" x14ac:dyDescent="0.25">
      <c r="A23" s="74" t="s">
        <v>549</v>
      </c>
      <c r="B23" s="31" t="s">
        <v>550</v>
      </c>
      <c r="C23" s="31" t="s">
        <v>465</v>
      </c>
      <c r="D23" s="14">
        <v>32610</v>
      </c>
      <c r="E23" s="15">
        <v>479.48</v>
      </c>
      <c r="F23" s="16">
        <v>1.49E-2</v>
      </c>
      <c r="G23" s="75"/>
    </row>
    <row r="24" spans="1:7" x14ac:dyDescent="0.25">
      <c r="A24" s="74" t="s">
        <v>504</v>
      </c>
      <c r="B24" s="31" t="s">
        <v>505</v>
      </c>
      <c r="C24" s="31" t="s">
        <v>2028</v>
      </c>
      <c r="D24" s="14">
        <v>188316</v>
      </c>
      <c r="E24" s="15">
        <v>472.01</v>
      </c>
      <c r="F24" s="16">
        <v>1.47E-2</v>
      </c>
      <c r="G24" s="75"/>
    </row>
    <row r="25" spans="1:7" x14ac:dyDescent="0.25">
      <c r="A25" s="74" t="s">
        <v>584</v>
      </c>
      <c r="B25" s="31" t="s">
        <v>585</v>
      </c>
      <c r="C25" s="31" t="s">
        <v>2027</v>
      </c>
      <c r="D25" s="14">
        <v>11825</v>
      </c>
      <c r="E25" s="15">
        <v>442.25</v>
      </c>
      <c r="F25" s="16">
        <v>1.38E-2</v>
      </c>
      <c r="G25" s="75"/>
    </row>
    <row r="26" spans="1:7" x14ac:dyDescent="0.25">
      <c r="A26" s="74" t="s">
        <v>582</v>
      </c>
      <c r="B26" s="31" t="s">
        <v>583</v>
      </c>
      <c r="C26" s="31" t="s">
        <v>2032</v>
      </c>
      <c r="D26" s="14">
        <v>5243</v>
      </c>
      <c r="E26" s="15">
        <v>396.44</v>
      </c>
      <c r="F26" s="16">
        <v>1.23E-2</v>
      </c>
      <c r="G26" s="75"/>
    </row>
    <row r="27" spans="1:7" x14ac:dyDescent="0.25">
      <c r="A27" s="74" t="s">
        <v>454</v>
      </c>
      <c r="B27" s="31" t="s">
        <v>455</v>
      </c>
      <c r="C27" s="31" t="s">
        <v>456</v>
      </c>
      <c r="D27" s="14">
        <v>383122</v>
      </c>
      <c r="E27" s="15">
        <v>377.57</v>
      </c>
      <c r="F27" s="16">
        <v>1.17E-2</v>
      </c>
      <c r="G27" s="75"/>
    </row>
    <row r="28" spans="1:7" x14ac:dyDescent="0.25">
      <c r="A28" s="74" t="s">
        <v>576</v>
      </c>
      <c r="B28" s="31" t="s">
        <v>577</v>
      </c>
      <c r="C28" s="31" t="s">
        <v>456</v>
      </c>
      <c r="D28" s="14">
        <v>65000</v>
      </c>
      <c r="E28" s="15">
        <v>346.35</v>
      </c>
      <c r="F28" s="16">
        <v>1.0800000000000001E-2</v>
      </c>
      <c r="G28" s="75"/>
    </row>
    <row r="29" spans="1:7" x14ac:dyDescent="0.25">
      <c r="A29" s="74" t="s">
        <v>629</v>
      </c>
      <c r="B29" s="31" t="s">
        <v>630</v>
      </c>
      <c r="C29" s="31" t="s">
        <v>459</v>
      </c>
      <c r="D29" s="14">
        <v>251024</v>
      </c>
      <c r="E29" s="15">
        <v>338.88</v>
      </c>
      <c r="F29" s="16">
        <v>1.0500000000000001E-2</v>
      </c>
      <c r="G29" s="75"/>
    </row>
    <row r="30" spans="1:7" x14ac:dyDescent="0.25">
      <c r="A30" s="74" t="s">
        <v>478</v>
      </c>
      <c r="B30" s="31" t="s">
        <v>479</v>
      </c>
      <c r="C30" s="31" t="s">
        <v>480</v>
      </c>
      <c r="D30" s="14">
        <v>19950</v>
      </c>
      <c r="E30" s="15">
        <v>331.97</v>
      </c>
      <c r="F30" s="16">
        <v>1.03E-2</v>
      </c>
      <c r="G30" s="75"/>
    </row>
    <row r="31" spans="1:7" x14ac:dyDescent="0.25">
      <c r="A31" s="74" t="s">
        <v>627</v>
      </c>
      <c r="B31" s="31" t="s">
        <v>628</v>
      </c>
      <c r="C31" s="31" t="s">
        <v>440</v>
      </c>
      <c r="D31" s="14">
        <v>84753</v>
      </c>
      <c r="E31" s="15">
        <v>304.56</v>
      </c>
      <c r="F31" s="16">
        <v>9.4999999999999998E-3</v>
      </c>
      <c r="G31" s="75"/>
    </row>
    <row r="32" spans="1:7" x14ac:dyDescent="0.25">
      <c r="A32" s="74" t="s">
        <v>765</v>
      </c>
      <c r="B32" s="31" t="s">
        <v>766</v>
      </c>
      <c r="C32" s="31" t="s">
        <v>2035</v>
      </c>
      <c r="D32" s="14">
        <v>563</v>
      </c>
      <c r="E32" s="15">
        <v>243.16</v>
      </c>
      <c r="F32" s="16">
        <v>7.6E-3</v>
      </c>
      <c r="G32" s="75"/>
    </row>
    <row r="33" spans="1:7" x14ac:dyDescent="0.25">
      <c r="A33" s="74" t="s">
        <v>737</v>
      </c>
      <c r="B33" s="31" t="s">
        <v>738</v>
      </c>
      <c r="C33" s="31" t="s">
        <v>2027</v>
      </c>
      <c r="D33" s="14">
        <v>4615</v>
      </c>
      <c r="E33" s="15">
        <v>219.92</v>
      </c>
      <c r="F33" s="16">
        <v>6.7999999999999996E-3</v>
      </c>
      <c r="G33" s="75"/>
    </row>
    <row r="34" spans="1:7" x14ac:dyDescent="0.25">
      <c r="A34" s="74" t="s">
        <v>463</v>
      </c>
      <c r="B34" s="31" t="s">
        <v>464</v>
      </c>
      <c r="C34" s="31" t="s">
        <v>465</v>
      </c>
      <c r="D34" s="14">
        <v>11621</v>
      </c>
      <c r="E34" s="15">
        <v>203.81</v>
      </c>
      <c r="F34" s="16">
        <v>6.3E-3</v>
      </c>
      <c r="G34" s="75"/>
    </row>
    <row r="35" spans="1:7" x14ac:dyDescent="0.25">
      <c r="A35" s="74" t="s">
        <v>483</v>
      </c>
      <c r="B35" s="31" t="s">
        <v>484</v>
      </c>
      <c r="C35" s="31" t="s">
        <v>2028</v>
      </c>
      <c r="D35" s="14">
        <v>9577</v>
      </c>
      <c r="E35" s="15">
        <v>196.2</v>
      </c>
      <c r="F35" s="16">
        <v>6.1000000000000004E-3</v>
      </c>
      <c r="G35" s="75"/>
    </row>
    <row r="36" spans="1:7" x14ac:dyDescent="0.25">
      <c r="A36" s="74" t="s">
        <v>451</v>
      </c>
      <c r="B36" s="31" t="s">
        <v>452</v>
      </c>
      <c r="C36" s="31" t="s">
        <v>453</v>
      </c>
      <c r="D36" s="14">
        <v>66000</v>
      </c>
      <c r="E36" s="15">
        <v>190.31</v>
      </c>
      <c r="F36" s="16">
        <v>5.8999999999999999E-3</v>
      </c>
      <c r="G36" s="75"/>
    </row>
    <row r="37" spans="1:7" x14ac:dyDescent="0.25">
      <c r="A37" s="74" t="s">
        <v>535</v>
      </c>
      <c r="B37" s="31" t="s">
        <v>536</v>
      </c>
      <c r="C37" s="31" t="s">
        <v>2028</v>
      </c>
      <c r="D37" s="14">
        <v>20910</v>
      </c>
      <c r="E37" s="15">
        <v>185.75</v>
      </c>
      <c r="F37" s="16">
        <v>5.7999999999999996E-3</v>
      </c>
      <c r="G37" s="75"/>
    </row>
    <row r="38" spans="1:7" x14ac:dyDescent="0.25">
      <c r="A38" s="74" t="s">
        <v>1021</v>
      </c>
      <c r="B38" s="31" t="s">
        <v>1022</v>
      </c>
      <c r="C38" s="31" t="s">
        <v>2027</v>
      </c>
      <c r="D38" s="14">
        <v>1975</v>
      </c>
      <c r="E38" s="15">
        <v>174.59</v>
      </c>
      <c r="F38" s="16">
        <v>5.4000000000000003E-3</v>
      </c>
      <c r="G38" s="75"/>
    </row>
    <row r="39" spans="1:7" x14ac:dyDescent="0.25">
      <c r="A39" s="74" t="s">
        <v>803</v>
      </c>
      <c r="B39" s="31" t="s">
        <v>804</v>
      </c>
      <c r="C39" s="31" t="s">
        <v>2028</v>
      </c>
      <c r="D39" s="14">
        <v>5664</v>
      </c>
      <c r="E39" s="15">
        <v>174.45</v>
      </c>
      <c r="F39" s="16">
        <v>5.4000000000000003E-3</v>
      </c>
      <c r="G39" s="75"/>
    </row>
    <row r="40" spans="1:7" x14ac:dyDescent="0.25">
      <c r="A40" s="74" t="s">
        <v>547</v>
      </c>
      <c r="B40" s="31" t="s">
        <v>548</v>
      </c>
      <c r="C40" s="31" t="s">
        <v>487</v>
      </c>
      <c r="D40" s="14">
        <v>33265</v>
      </c>
      <c r="E40" s="15">
        <v>166.62</v>
      </c>
      <c r="F40" s="16">
        <v>5.1999999999999998E-3</v>
      </c>
      <c r="G40" s="75"/>
    </row>
    <row r="41" spans="1:7" x14ac:dyDescent="0.25">
      <c r="A41" s="74" t="s">
        <v>448</v>
      </c>
      <c r="B41" s="31" t="s">
        <v>449</v>
      </c>
      <c r="C41" s="31" t="s">
        <v>450</v>
      </c>
      <c r="D41" s="14">
        <v>6437</v>
      </c>
      <c r="E41" s="15">
        <v>153.87</v>
      </c>
      <c r="F41" s="16">
        <v>4.7999999999999996E-3</v>
      </c>
      <c r="G41" s="75"/>
    </row>
    <row r="42" spans="1:7" x14ac:dyDescent="0.25">
      <c r="A42" s="74" t="s">
        <v>777</v>
      </c>
      <c r="B42" s="31" t="s">
        <v>778</v>
      </c>
      <c r="C42" s="31" t="s">
        <v>1429</v>
      </c>
      <c r="D42" s="14">
        <v>3384</v>
      </c>
      <c r="E42" s="15">
        <v>148.97</v>
      </c>
      <c r="F42" s="16">
        <v>4.5999999999999999E-3</v>
      </c>
      <c r="G42" s="75"/>
    </row>
    <row r="43" spans="1:7" x14ac:dyDescent="0.25">
      <c r="A43" s="74" t="s">
        <v>596</v>
      </c>
      <c r="B43" s="31" t="s">
        <v>597</v>
      </c>
      <c r="C43" s="31" t="s">
        <v>573</v>
      </c>
      <c r="D43" s="14">
        <v>3250</v>
      </c>
      <c r="E43" s="15">
        <v>146.77000000000001</v>
      </c>
      <c r="F43" s="16">
        <v>4.5999999999999999E-3</v>
      </c>
      <c r="G43" s="75"/>
    </row>
    <row r="44" spans="1:7" x14ac:dyDescent="0.25">
      <c r="A44" s="74" t="s">
        <v>590</v>
      </c>
      <c r="B44" s="31" t="s">
        <v>591</v>
      </c>
      <c r="C44" s="31" t="s">
        <v>2032</v>
      </c>
      <c r="D44" s="14">
        <v>6332</v>
      </c>
      <c r="E44" s="15">
        <v>145.27000000000001</v>
      </c>
      <c r="F44" s="16">
        <v>4.4999999999999997E-3</v>
      </c>
      <c r="G44" s="75"/>
    </row>
    <row r="45" spans="1:7" x14ac:dyDescent="0.25">
      <c r="A45" s="74" t="s">
        <v>1220</v>
      </c>
      <c r="B45" s="31" t="s">
        <v>1221</v>
      </c>
      <c r="C45" s="31" t="s">
        <v>1222</v>
      </c>
      <c r="D45" s="14">
        <v>20415</v>
      </c>
      <c r="E45" s="15">
        <v>141.74</v>
      </c>
      <c r="F45" s="16">
        <v>4.4000000000000003E-3</v>
      </c>
      <c r="G45" s="75"/>
    </row>
    <row r="46" spans="1:7" x14ac:dyDescent="0.25">
      <c r="A46" s="74" t="s">
        <v>1025</v>
      </c>
      <c r="B46" s="31" t="s">
        <v>1026</v>
      </c>
      <c r="C46" s="31" t="s">
        <v>450</v>
      </c>
      <c r="D46" s="14">
        <v>130150</v>
      </c>
      <c r="E46" s="15">
        <v>138.61000000000001</v>
      </c>
      <c r="F46" s="16">
        <v>4.3E-3</v>
      </c>
      <c r="G46" s="75"/>
    </row>
    <row r="47" spans="1:7" x14ac:dyDescent="0.25">
      <c r="A47" s="74" t="s">
        <v>791</v>
      </c>
      <c r="B47" s="31" t="s">
        <v>792</v>
      </c>
      <c r="C47" s="31" t="s">
        <v>2028</v>
      </c>
      <c r="D47" s="14">
        <v>27198</v>
      </c>
      <c r="E47" s="15">
        <v>137</v>
      </c>
      <c r="F47" s="16">
        <v>4.3E-3</v>
      </c>
      <c r="G47" s="75"/>
    </row>
    <row r="48" spans="1:7" x14ac:dyDescent="0.25">
      <c r="A48" s="74" t="s">
        <v>735</v>
      </c>
      <c r="B48" s="31" t="s">
        <v>736</v>
      </c>
      <c r="C48" s="31" t="s">
        <v>487</v>
      </c>
      <c r="D48" s="14">
        <v>768</v>
      </c>
      <c r="E48" s="15">
        <v>131.02000000000001</v>
      </c>
      <c r="F48" s="16">
        <v>4.1000000000000003E-3</v>
      </c>
      <c r="G48" s="75"/>
    </row>
    <row r="49" spans="1:7" x14ac:dyDescent="0.25">
      <c r="A49" s="74" t="s">
        <v>476</v>
      </c>
      <c r="B49" s="31" t="s">
        <v>477</v>
      </c>
      <c r="C49" s="31" t="s">
        <v>2027</v>
      </c>
      <c r="D49" s="14">
        <v>3015</v>
      </c>
      <c r="E49" s="15">
        <v>129.72999999999999</v>
      </c>
      <c r="F49" s="16">
        <v>4.0000000000000001E-3</v>
      </c>
      <c r="G49" s="75"/>
    </row>
    <row r="50" spans="1:7" x14ac:dyDescent="0.25">
      <c r="A50" s="74" t="s">
        <v>1019</v>
      </c>
      <c r="B50" s="31" t="s">
        <v>1020</v>
      </c>
      <c r="C50" s="31" t="s">
        <v>1429</v>
      </c>
      <c r="D50" s="14">
        <v>3820</v>
      </c>
      <c r="E50" s="15">
        <v>125.02</v>
      </c>
      <c r="F50" s="16">
        <v>3.8999999999999998E-3</v>
      </c>
      <c r="G50" s="75"/>
    </row>
    <row r="51" spans="1:7" x14ac:dyDescent="0.25">
      <c r="A51" s="74" t="s">
        <v>741</v>
      </c>
      <c r="B51" s="31" t="s">
        <v>742</v>
      </c>
      <c r="C51" s="31" t="s">
        <v>2032</v>
      </c>
      <c r="D51" s="14">
        <v>15479</v>
      </c>
      <c r="E51" s="15">
        <v>124.85</v>
      </c>
      <c r="F51" s="16">
        <v>3.8999999999999998E-3</v>
      </c>
      <c r="G51" s="75"/>
    </row>
    <row r="52" spans="1:7" x14ac:dyDescent="0.25">
      <c r="A52" s="74" t="s">
        <v>1023</v>
      </c>
      <c r="B52" s="31" t="s">
        <v>1024</v>
      </c>
      <c r="C52" s="31" t="s">
        <v>1429</v>
      </c>
      <c r="D52" s="14">
        <v>3404</v>
      </c>
      <c r="E52" s="15">
        <v>123.25</v>
      </c>
      <c r="F52" s="16">
        <v>3.8E-3</v>
      </c>
      <c r="G52" s="75"/>
    </row>
    <row r="53" spans="1:7" x14ac:dyDescent="0.25">
      <c r="A53" s="74" t="s">
        <v>657</v>
      </c>
      <c r="B53" s="31" t="s">
        <v>658</v>
      </c>
      <c r="C53" s="31" t="s">
        <v>480</v>
      </c>
      <c r="D53" s="14">
        <v>1849</v>
      </c>
      <c r="E53" s="15">
        <v>122.08</v>
      </c>
      <c r="F53" s="16">
        <v>3.8E-3</v>
      </c>
      <c r="G53" s="75"/>
    </row>
    <row r="54" spans="1:7" x14ac:dyDescent="0.25">
      <c r="A54" s="74" t="s">
        <v>586</v>
      </c>
      <c r="B54" s="31" t="s">
        <v>587</v>
      </c>
      <c r="C54" s="31" t="s">
        <v>2031</v>
      </c>
      <c r="D54" s="14">
        <v>15442</v>
      </c>
      <c r="E54" s="15">
        <v>118.84</v>
      </c>
      <c r="F54" s="16">
        <v>3.7000000000000002E-3</v>
      </c>
      <c r="G54" s="75"/>
    </row>
    <row r="55" spans="1:7" x14ac:dyDescent="0.25">
      <c r="A55" s="74" t="s">
        <v>2020</v>
      </c>
      <c r="B55" s="31" t="s">
        <v>1029</v>
      </c>
      <c r="C55" s="31" t="s">
        <v>494</v>
      </c>
      <c r="D55" s="14">
        <v>37400</v>
      </c>
      <c r="E55" s="15">
        <v>117.11</v>
      </c>
      <c r="F55" s="16">
        <v>3.5999999999999999E-3</v>
      </c>
      <c r="G55" s="75"/>
    </row>
    <row r="56" spans="1:7" x14ac:dyDescent="0.25">
      <c r="A56" s="74" t="s">
        <v>551</v>
      </c>
      <c r="B56" s="31" t="s">
        <v>552</v>
      </c>
      <c r="C56" s="31" t="s">
        <v>450</v>
      </c>
      <c r="D56" s="14">
        <v>8079</v>
      </c>
      <c r="E56" s="15">
        <v>107.53</v>
      </c>
      <c r="F56" s="16">
        <v>3.3E-3</v>
      </c>
      <c r="G56" s="75"/>
    </row>
    <row r="57" spans="1:7" x14ac:dyDescent="0.25">
      <c r="A57" s="74" t="s">
        <v>527</v>
      </c>
      <c r="B57" s="31" t="s">
        <v>528</v>
      </c>
      <c r="C57" s="31" t="s">
        <v>2030</v>
      </c>
      <c r="D57" s="14">
        <v>3989</v>
      </c>
      <c r="E57" s="15">
        <v>106.88</v>
      </c>
      <c r="F57" s="16">
        <v>3.3E-3</v>
      </c>
      <c r="G57" s="75"/>
    </row>
    <row r="58" spans="1:7" x14ac:dyDescent="0.25">
      <c r="A58" s="74" t="s">
        <v>663</v>
      </c>
      <c r="B58" s="31" t="s">
        <v>664</v>
      </c>
      <c r="C58" s="31" t="s">
        <v>2027</v>
      </c>
      <c r="D58" s="14">
        <v>1730</v>
      </c>
      <c r="E58" s="15">
        <v>106.49</v>
      </c>
      <c r="F58" s="16">
        <v>3.3E-3</v>
      </c>
      <c r="G58" s="75"/>
    </row>
    <row r="59" spans="1:7" x14ac:dyDescent="0.25">
      <c r="A59" s="74" t="s">
        <v>1038</v>
      </c>
      <c r="B59" s="31" t="s">
        <v>1039</v>
      </c>
      <c r="C59" s="31" t="s">
        <v>558</v>
      </c>
      <c r="D59" s="14">
        <v>5430</v>
      </c>
      <c r="E59" s="15">
        <v>105.45</v>
      </c>
      <c r="F59" s="16">
        <v>3.3E-3</v>
      </c>
      <c r="G59" s="75"/>
    </row>
    <row r="60" spans="1:7" x14ac:dyDescent="0.25">
      <c r="A60" s="74" t="s">
        <v>485</v>
      </c>
      <c r="B60" s="31" t="s">
        <v>486</v>
      </c>
      <c r="C60" s="31" t="s">
        <v>487</v>
      </c>
      <c r="D60" s="14">
        <v>19419</v>
      </c>
      <c r="E60" s="15">
        <v>104.51</v>
      </c>
      <c r="F60" s="16">
        <v>3.3E-3</v>
      </c>
      <c r="G60" s="75"/>
    </row>
    <row r="61" spans="1:7" x14ac:dyDescent="0.25">
      <c r="A61" s="74" t="s">
        <v>1058</v>
      </c>
      <c r="B61" s="31" t="s">
        <v>1059</v>
      </c>
      <c r="C61" s="31" t="s">
        <v>514</v>
      </c>
      <c r="D61" s="14">
        <v>16670</v>
      </c>
      <c r="E61" s="15">
        <v>103.56</v>
      </c>
      <c r="F61" s="16">
        <v>3.2000000000000002E-3</v>
      </c>
      <c r="G61" s="75"/>
    </row>
    <row r="62" spans="1:7" x14ac:dyDescent="0.25">
      <c r="A62" s="74" t="s">
        <v>444</v>
      </c>
      <c r="B62" s="31" t="s">
        <v>445</v>
      </c>
      <c r="C62" s="31" t="s">
        <v>462</v>
      </c>
      <c r="D62" s="14">
        <v>24800</v>
      </c>
      <c r="E62" s="15">
        <v>100.03</v>
      </c>
      <c r="F62" s="16">
        <v>3.0999999999999999E-3</v>
      </c>
      <c r="G62" s="75"/>
    </row>
    <row r="63" spans="1:7" x14ac:dyDescent="0.25">
      <c r="A63" s="74" t="s">
        <v>1223</v>
      </c>
      <c r="B63" s="31" t="s">
        <v>1224</v>
      </c>
      <c r="C63" s="31" t="s">
        <v>2033</v>
      </c>
      <c r="D63" s="14">
        <v>5444</v>
      </c>
      <c r="E63" s="15">
        <v>99.02</v>
      </c>
      <c r="F63" s="16">
        <v>3.0999999999999999E-3</v>
      </c>
      <c r="G63" s="75"/>
    </row>
    <row r="64" spans="1:7" x14ac:dyDescent="0.25">
      <c r="A64" s="74" t="s">
        <v>1036</v>
      </c>
      <c r="B64" s="31" t="s">
        <v>1037</v>
      </c>
      <c r="C64" s="31" t="s">
        <v>2025</v>
      </c>
      <c r="D64" s="14">
        <v>5959</v>
      </c>
      <c r="E64" s="15">
        <v>96.82</v>
      </c>
      <c r="F64" s="16">
        <v>3.0000000000000001E-3</v>
      </c>
      <c r="G64" s="75"/>
    </row>
    <row r="65" spans="1:7" x14ac:dyDescent="0.25">
      <c r="A65" s="74" t="s">
        <v>541</v>
      </c>
      <c r="B65" s="31" t="s">
        <v>542</v>
      </c>
      <c r="C65" s="31" t="s">
        <v>501</v>
      </c>
      <c r="D65" s="14">
        <v>45513</v>
      </c>
      <c r="E65" s="15">
        <v>95.94</v>
      </c>
      <c r="F65" s="16">
        <v>3.0000000000000001E-3</v>
      </c>
      <c r="G65" s="75"/>
    </row>
    <row r="66" spans="1:7" x14ac:dyDescent="0.25">
      <c r="A66" s="74" t="s">
        <v>724</v>
      </c>
      <c r="B66" s="31" t="s">
        <v>725</v>
      </c>
      <c r="C66" s="31" t="s">
        <v>1429</v>
      </c>
      <c r="D66" s="14">
        <v>10422</v>
      </c>
      <c r="E66" s="15">
        <v>95.34</v>
      </c>
      <c r="F66" s="16">
        <v>3.0000000000000001E-3</v>
      </c>
      <c r="G66" s="75"/>
    </row>
    <row r="67" spans="1:7" x14ac:dyDescent="0.25">
      <c r="A67" s="74" t="s">
        <v>1054</v>
      </c>
      <c r="B67" s="31" t="s">
        <v>1055</v>
      </c>
      <c r="C67" s="31" t="s">
        <v>615</v>
      </c>
      <c r="D67" s="14">
        <v>2656</v>
      </c>
      <c r="E67" s="15">
        <v>93.58</v>
      </c>
      <c r="F67" s="16">
        <v>2.8999999999999998E-3</v>
      </c>
      <c r="G67" s="75"/>
    </row>
    <row r="68" spans="1:7" x14ac:dyDescent="0.25">
      <c r="A68" s="74" t="s">
        <v>563</v>
      </c>
      <c r="B68" s="31" t="s">
        <v>564</v>
      </c>
      <c r="C68" s="31" t="s">
        <v>2028</v>
      </c>
      <c r="D68" s="14">
        <v>515</v>
      </c>
      <c r="E68" s="15">
        <v>89.51</v>
      </c>
      <c r="F68" s="16">
        <v>2.8E-3</v>
      </c>
      <c r="G68" s="75"/>
    </row>
    <row r="69" spans="1:7" x14ac:dyDescent="0.25">
      <c r="A69" s="74" t="s">
        <v>616</v>
      </c>
      <c r="B69" s="31" t="s">
        <v>617</v>
      </c>
      <c r="C69" s="31" t="s">
        <v>608</v>
      </c>
      <c r="D69" s="14">
        <v>3342</v>
      </c>
      <c r="E69" s="15">
        <v>88.11</v>
      </c>
      <c r="F69" s="16">
        <v>2.7000000000000001E-3</v>
      </c>
      <c r="G69" s="75"/>
    </row>
    <row r="70" spans="1:7" x14ac:dyDescent="0.25">
      <c r="A70" s="74" t="s">
        <v>1034</v>
      </c>
      <c r="B70" s="31" t="s">
        <v>1035</v>
      </c>
      <c r="C70" s="31" t="s">
        <v>494</v>
      </c>
      <c r="D70" s="14">
        <v>16150</v>
      </c>
      <c r="E70" s="15">
        <v>83.47</v>
      </c>
      <c r="F70" s="16">
        <v>2.5999999999999999E-3</v>
      </c>
      <c r="G70" s="75"/>
    </row>
    <row r="71" spans="1:7" x14ac:dyDescent="0.25">
      <c r="A71" s="74" t="s">
        <v>1225</v>
      </c>
      <c r="B71" s="31" t="s">
        <v>1226</v>
      </c>
      <c r="C71" s="31" t="s">
        <v>573</v>
      </c>
      <c r="D71" s="14">
        <v>11652</v>
      </c>
      <c r="E71" s="15">
        <v>81.91</v>
      </c>
      <c r="F71" s="16">
        <v>2.5000000000000001E-3</v>
      </c>
      <c r="G71" s="75"/>
    </row>
    <row r="72" spans="1:7" x14ac:dyDescent="0.25">
      <c r="A72" s="74" t="s">
        <v>1042</v>
      </c>
      <c r="B72" s="31" t="s">
        <v>1043</v>
      </c>
      <c r="C72" s="31" t="s">
        <v>514</v>
      </c>
      <c r="D72" s="14">
        <v>3535</v>
      </c>
      <c r="E72" s="15">
        <v>81.87</v>
      </c>
      <c r="F72" s="16">
        <v>2.5000000000000001E-3</v>
      </c>
      <c r="G72" s="75"/>
    </row>
    <row r="73" spans="1:7" x14ac:dyDescent="0.25">
      <c r="A73" s="74" t="s">
        <v>1030</v>
      </c>
      <c r="B73" s="31" t="s">
        <v>1031</v>
      </c>
      <c r="C73" s="31" t="s">
        <v>1429</v>
      </c>
      <c r="D73" s="14">
        <v>4761</v>
      </c>
      <c r="E73" s="15">
        <v>79.36</v>
      </c>
      <c r="F73" s="16">
        <v>2.5000000000000001E-3</v>
      </c>
      <c r="G73" s="75"/>
    </row>
    <row r="74" spans="1:7" x14ac:dyDescent="0.25">
      <c r="A74" s="74" t="s">
        <v>1048</v>
      </c>
      <c r="B74" s="31" t="s">
        <v>1049</v>
      </c>
      <c r="C74" s="31" t="s">
        <v>2030</v>
      </c>
      <c r="D74" s="14">
        <v>2847</v>
      </c>
      <c r="E74" s="15">
        <v>78.08</v>
      </c>
      <c r="F74" s="16">
        <v>2.3999999999999998E-3</v>
      </c>
      <c r="G74" s="75"/>
    </row>
    <row r="75" spans="1:7" x14ac:dyDescent="0.25">
      <c r="A75" s="74" t="s">
        <v>1050</v>
      </c>
      <c r="B75" s="31" t="s">
        <v>1051</v>
      </c>
      <c r="C75" s="31" t="s">
        <v>558</v>
      </c>
      <c r="D75" s="14">
        <v>3605</v>
      </c>
      <c r="E75" s="15">
        <v>77.19</v>
      </c>
      <c r="F75" s="16">
        <v>2.3999999999999998E-3</v>
      </c>
      <c r="G75" s="75"/>
    </row>
    <row r="76" spans="1:7" x14ac:dyDescent="0.25">
      <c r="A76" s="74" t="s">
        <v>1227</v>
      </c>
      <c r="B76" s="31" t="s">
        <v>1228</v>
      </c>
      <c r="C76" s="31" t="s">
        <v>2025</v>
      </c>
      <c r="D76" s="14">
        <v>968</v>
      </c>
      <c r="E76" s="15">
        <v>73.87</v>
      </c>
      <c r="F76" s="16">
        <v>2.3E-3</v>
      </c>
      <c r="G76" s="75"/>
    </row>
    <row r="77" spans="1:7" x14ac:dyDescent="0.25">
      <c r="A77" s="74" t="s">
        <v>510</v>
      </c>
      <c r="B77" s="31" t="s">
        <v>511</v>
      </c>
      <c r="C77" s="31" t="s">
        <v>2027</v>
      </c>
      <c r="D77" s="14">
        <v>6300</v>
      </c>
      <c r="E77" s="15">
        <v>73.319999999999993</v>
      </c>
      <c r="F77" s="16">
        <v>2.3E-3</v>
      </c>
      <c r="G77" s="75"/>
    </row>
    <row r="78" spans="1:7" x14ac:dyDescent="0.25">
      <c r="A78" s="74" t="s">
        <v>793</v>
      </c>
      <c r="B78" s="31" t="s">
        <v>794</v>
      </c>
      <c r="C78" s="31" t="s">
        <v>1429</v>
      </c>
      <c r="D78" s="14">
        <v>404</v>
      </c>
      <c r="E78" s="15">
        <v>71.52</v>
      </c>
      <c r="F78" s="16">
        <v>2.2000000000000001E-3</v>
      </c>
      <c r="G78" s="75"/>
    </row>
    <row r="79" spans="1:7" x14ac:dyDescent="0.25">
      <c r="A79" s="74" t="s">
        <v>645</v>
      </c>
      <c r="B79" s="31" t="s">
        <v>646</v>
      </c>
      <c r="C79" s="31" t="s">
        <v>2025</v>
      </c>
      <c r="D79" s="14">
        <v>13000</v>
      </c>
      <c r="E79" s="15">
        <v>69.73</v>
      </c>
      <c r="F79" s="16">
        <v>2.2000000000000001E-3</v>
      </c>
      <c r="G79" s="75"/>
    </row>
    <row r="80" spans="1:7" x14ac:dyDescent="0.25">
      <c r="A80" s="74" t="s">
        <v>755</v>
      </c>
      <c r="B80" s="31" t="s">
        <v>756</v>
      </c>
      <c r="C80" s="31" t="s">
        <v>480</v>
      </c>
      <c r="D80" s="14">
        <v>2792</v>
      </c>
      <c r="E80" s="15">
        <v>67.88</v>
      </c>
      <c r="F80" s="16">
        <v>2.0999999999999999E-3</v>
      </c>
      <c r="G80" s="75"/>
    </row>
    <row r="81" spans="1:7" x14ac:dyDescent="0.25">
      <c r="A81" s="74" t="s">
        <v>1052</v>
      </c>
      <c r="B81" s="31" t="s">
        <v>1053</v>
      </c>
      <c r="C81" s="31" t="s">
        <v>2025</v>
      </c>
      <c r="D81" s="14">
        <v>7246</v>
      </c>
      <c r="E81" s="15">
        <v>67.55</v>
      </c>
      <c r="F81" s="16">
        <v>2.0999999999999999E-3</v>
      </c>
      <c r="G81" s="75"/>
    </row>
    <row r="82" spans="1:7" x14ac:dyDescent="0.25">
      <c r="A82" s="74" t="s">
        <v>1139</v>
      </c>
      <c r="B82" s="31" t="s">
        <v>1140</v>
      </c>
      <c r="C82" s="31" t="s">
        <v>456</v>
      </c>
      <c r="D82" s="14">
        <v>2571</v>
      </c>
      <c r="E82" s="15">
        <v>66.680000000000007</v>
      </c>
      <c r="F82" s="16">
        <v>2.0999999999999999E-3</v>
      </c>
      <c r="G82" s="75"/>
    </row>
    <row r="83" spans="1:7" x14ac:dyDescent="0.25">
      <c r="A83" s="74" t="s">
        <v>733</v>
      </c>
      <c r="B83" s="31" t="s">
        <v>734</v>
      </c>
      <c r="C83" s="31" t="s">
        <v>626</v>
      </c>
      <c r="D83" s="14">
        <v>33294</v>
      </c>
      <c r="E83" s="15">
        <v>64.510000000000005</v>
      </c>
      <c r="F83" s="16">
        <v>2E-3</v>
      </c>
      <c r="G83" s="75"/>
    </row>
    <row r="84" spans="1:7" x14ac:dyDescent="0.25">
      <c r="A84" s="74" t="s">
        <v>1056</v>
      </c>
      <c r="B84" s="31" t="s">
        <v>1057</v>
      </c>
      <c r="C84" s="31" t="s">
        <v>494</v>
      </c>
      <c r="D84" s="14">
        <v>22380</v>
      </c>
      <c r="E84" s="15">
        <v>63.59</v>
      </c>
      <c r="F84" s="16">
        <v>2E-3</v>
      </c>
      <c r="G84" s="75"/>
    </row>
    <row r="85" spans="1:7" x14ac:dyDescent="0.25">
      <c r="A85" s="74" t="s">
        <v>1027</v>
      </c>
      <c r="B85" s="31" t="s">
        <v>1028</v>
      </c>
      <c r="C85" s="31" t="s">
        <v>462</v>
      </c>
      <c r="D85" s="14">
        <v>17989</v>
      </c>
      <c r="E85" s="15">
        <v>55.79</v>
      </c>
      <c r="F85" s="16">
        <v>1.6999999999999999E-3</v>
      </c>
      <c r="G85" s="75"/>
    </row>
    <row r="86" spans="1:7" x14ac:dyDescent="0.25">
      <c r="A86" s="74" t="s">
        <v>1229</v>
      </c>
      <c r="B86" s="31" t="s">
        <v>1230</v>
      </c>
      <c r="C86" s="31" t="s">
        <v>443</v>
      </c>
      <c r="D86" s="14">
        <v>59878</v>
      </c>
      <c r="E86" s="15">
        <v>50.36</v>
      </c>
      <c r="F86" s="16">
        <v>1.6000000000000001E-3</v>
      </c>
      <c r="G86" s="75"/>
    </row>
    <row r="87" spans="1:7" x14ac:dyDescent="0.25">
      <c r="A87" s="74" t="s">
        <v>1067</v>
      </c>
      <c r="B87" s="31" t="s">
        <v>1068</v>
      </c>
      <c r="C87" s="31" t="s">
        <v>450</v>
      </c>
      <c r="D87" s="14">
        <v>8400</v>
      </c>
      <c r="E87" s="15">
        <v>43.84</v>
      </c>
      <c r="F87" s="16">
        <v>1.4E-3</v>
      </c>
      <c r="G87" s="75"/>
    </row>
    <row r="88" spans="1:7" x14ac:dyDescent="0.25">
      <c r="A88" s="74" t="s">
        <v>561</v>
      </c>
      <c r="B88" s="31" t="s">
        <v>562</v>
      </c>
      <c r="C88" s="31" t="s">
        <v>487</v>
      </c>
      <c r="D88" s="14">
        <v>3750</v>
      </c>
      <c r="E88" s="15">
        <v>42.05</v>
      </c>
      <c r="F88" s="16">
        <v>1.2999999999999999E-3</v>
      </c>
      <c r="G88" s="75"/>
    </row>
    <row r="89" spans="1:7" x14ac:dyDescent="0.25">
      <c r="A89" s="74" t="s">
        <v>2021</v>
      </c>
      <c r="B89" s="31" t="s">
        <v>1231</v>
      </c>
      <c r="C89" s="31" t="s">
        <v>494</v>
      </c>
      <c r="D89" s="14">
        <v>12000</v>
      </c>
      <c r="E89" s="15">
        <v>41.58</v>
      </c>
      <c r="F89" s="16">
        <v>1.2999999999999999E-3</v>
      </c>
      <c r="G89" s="75"/>
    </row>
    <row r="90" spans="1:7" x14ac:dyDescent="0.25">
      <c r="A90" s="74" t="s">
        <v>635</v>
      </c>
      <c r="B90" s="31" t="s">
        <v>636</v>
      </c>
      <c r="C90" s="31" t="s">
        <v>465</v>
      </c>
      <c r="D90" s="14">
        <v>35100</v>
      </c>
      <c r="E90" s="15">
        <v>39.17</v>
      </c>
      <c r="F90" s="16">
        <v>1.1999999999999999E-3</v>
      </c>
      <c r="G90" s="75"/>
    </row>
    <row r="91" spans="1:7" x14ac:dyDescent="0.25">
      <c r="A91" s="74" t="s">
        <v>611</v>
      </c>
      <c r="B91" s="31" t="s">
        <v>612</v>
      </c>
      <c r="C91" s="31" t="s">
        <v>465</v>
      </c>
      <c r="D91" s="14">
        <v>16200</v>
      </c>
      <c r="E91" s="15">
        <v>36.9</v>
      </c>
      <c r="F91" s="16">
        <v>1.1000000000000001E-3</v>
      </c>
      <c r="G91" s="75"/>
    </row>
    <row r="92" spans="1:7" x14ac:dyDescent="0.25">
      <c r="A92" s="74" t="s">
        <v>441</v>
      </c>
      <c r="B92" s="31" t="s">
        <v>1066</v>
      </c>
      <c r="C92" s="31" t="s">
        <v>443</v>
      </c>
      <c r="D92" s="14">
        <v>5299</v>
      </c>
      <c r="E92" s="15">
        <v>20.98</v>
      </c>
      <c r="F92" s="16">
        <v>6.9999999999999999E-4</v>
      </c>
      <c r="G92" s="75"/>
    </row>
    <row r="93" spans="1:7" x14ac:dyDescent="0.25">
      <c r="A93" s="76" t="s">
        <v>90</v>
      </c>
      <c r="B93" s="32"/>
      <c r="C93" s="32"/>
      <c r="D93" s="18"/>
      <c r="E93" s="35">
        <v>23802.39</v>
      </c>
      <c r="F93" s="36">
        <v>0.74029999999999996</v>
      </c>
      <c r="G93" s="77"/>
    </row>
    <row r="94" spans="1:7" x14ac:dyDescent="0.25">
      <c r="A94" s="76" t="s">
        <v>815</v>
      </c>
      <c r="B94" s="31"/>
      <c r="C94" s="31"/>
      <c r="D94" s="14"/>
      <c r="E94" s="15"/>
      <c r="F94" s="16"/>
      <c r="G94" s="75"/>
    </row>
    <row r="95" spans="1:7" x14ac:dyDescent="0.25">
      <c r="A95" s="76" t="s">
        <v>90</v>
      </c>
      <c r="B95" s="31"/>
      <c r="C95" s="31"/>
      <c r="D95" s="14"/>
      <c r="E95" s="37" t="s">
        <v>85</v>
      </c>
      <c r="F95" s="38" t="s">
        <v>85</v>
      </c>
      <c r="G95" s="75"/>
    </row>
    <row r="96" spans="1:7" x14ac:dyDescent="0.25">
      <c r="A96" s="78" t="s">
        <v>93</v>
      </c>
      <c r="B96" s="79"/>
      <c r="C96" s="79"/>
      <c r="D96" s="80"/>
      <c r="E96" s="28">
        <v>23802.39</v>
      </c>
      <c r="F96" s="29">
        <v>0.74029999999999996</v>
      </c>
      <c r="G96" s="77"/>
    </row>
    <row r="97" spans="1:7" x14ac:dyDescent="0.25">
      <c r="A97" s="74"/>
      <c r="B97" s="31"/>
      <c r="C97" s="31"/>
      <c r="D97" s="14"/>
      <c r="E97" s="15"/>
      <c r="F97" s="16"/>
      <c r="G97" s="75"/>
    </row>
    <row r="98" spans="1:7" x14ac:dyDescent="0.25">
      <c r="A98" s="76" t="s">
        <v>816</v>
      </c>
      <c r="B98" s="31"/>
      <c r="C98" s="31"/>
      <c r="D98" s="14"/>
      <c r="E98" s="15"/>
      <c r="F98" s="16"/>
      <c r="G98" s="75"/>
    </row>
    <row r="99" spans="1:7" x14ac:dyDescent="0.25">
      <c r="A99" s="76" t="s">
        <v>817</v>
      </c>
      <c r="B99" s="31"/>
      <c r="C99" s="31"/>
      <c r="D99" s="14"/>
      <c r="E99" s="15"/>
      <c r="F99" s="16"/>
      <c r="G99" s="75"/>
    </row>
    <row r="100" spans="1:7" x14ac:dyDescent="0.25">
      <c r="A100" s="74" t="s">
        <v>947</v>
      </c>
      <c r="B100" s="31"/>
      <c r="C100" s="31"/>
      <c r="D100" s="14">
        <v>40700</v>
      </c>
      <c r="E100" s="15">
        <v>600.61</v>
      </c>
      <c r="F100" s="16">
        <v>1.8686000000000001E-2</v>
      </c>
      <c r="G100" s="75"/>
    </row>
    <row r="101" spans="1:7" x14ac:dyDescent="0.25">
      <c r="A101" s="74" t="s">
        <v>1078</v>
      </c>
      <c r="B101" s="31"/>
      <c r="C101" s="31"/>
      <c r="D101" s="14">
        <v>6650</v>
      </c>
      <c r="E101" s="15">
        <v>102.73</v>
      </c>
      <c r="F101" s="16">
        <v>3.1960000000000001E-3</v>
      </c>
      <c r="G101" s="75"/>
    </row>
    <row r="102" spans="1:7" x14ac:dyDescent="0.25">
      <c r="A102" s="74" t="s">
        <v>916</v>
      </c>
      <c r="B102" s="31"/>
      <c r="C102" s="31"/>
      <c r="D102" s="39">
        <v>-250</v>
      </c>
      <c r="E102" s="24">
        <v>-6.63</v>
      </c>
      <c r="F102" s="25">
        <v>-2.0599999999999999E-4</v>
      </c>
      <c r="G102" s="75"/>
    </row>
    <row r="103" spans="1:7" x14ac:dyDescent="0.25">
      <c r="A103" s="74" t="s">
        <v>919</v>
      </c>
      <c r="B103" s="31"/>
      <c r="C103" s="31"/>
      <c r="D103" s="39">
        <v>-16200</v>
      </c>
      <c r="E103" s="24">
        <v>-37.11</v>
      </c>
      <c r="F103" s="25">
        <v>-1.1540000000000001E-3</v>
      </c>
      <c r="G103" s="75"/>
    </row>
    <row r="104" spans="1:7" x14ac:dyDescent="0.25">
      <c r="A104" s="74" t="s">
        <v>907</v>
      </c>
      <c r="B104" s="31"/>
      <c r="C104" s="31"/>
      <c r="D104" s="39">
        <v>-35100</v>
      </c>
      <c r="E104" s="24">
        <v>-39.42</v>
      </c>
      <c r="F104" s="25">
        <v>-1.2260000000000001E-3</v>
      </c>
      <c r="G104" s="75"/>
    </row>
    <row r="105" spans="1:7" x14ac:dyDescent="0.25">
      <c r="A105" s="74" t="s">
        <v>930</v>
      </c>
      <c r="B105" s="31"/>
      <c r="C105" s="31"/>
      <c r="D105" s="39">
        <v>-5200</v>
      </c>
      <c r="E105" s="24">
        <v>-40.270000000000003</v>
      </c>
      <c r="F105" s="25">
        <v>-1.2520000000000001E-3</v>
      </c>
      <c r="G105" s="75"/>
    </row>
    <row r="106" spans="1:7" x14ac:dyDescent="0.25">
      <c r="A106" s="74" t="s">
        <v>942</v>
      </c>
      <c r="B106" s="31"/>
      <c r="C106" s="31"/>
      <c r="D106" s="39">
        <v>-3750</v>
      </c>
      <c r="E106" s="24">
        <v>-42.2</v>
      </c>
      <c r="F106" s="25">
        <v>-1.312E-3</v>
      </c>
      <c r="G106" s="75"/>
    </row>
    <row r="107" spans="1:7" x14ac:dyDescent="0.25">
      <c r="A107" s="74" t="s">
        <v>925</v>
      </c>
      <c r="B107" s="31"/>
      <c r="C107" s="31"/>
      <c r="D107" s="39">
        <v>-1000</v>
      </c>
      <c r="E107" s="24">
        <v>-45.43</v>
      </c>
      <c r="F107" s="25">
        <v>-1.413E-3</v>
      </c>
      <c r="G107" s="75"/>
    </row>
    <row r="108" spans="1:7" x14ac:dyDescent="0.25">
      <c r="A108" s="74" t="s">
        <v>969</v>
      </c>
      <c r="B108" s="31"/>
      <c r="C108" s="31"/>
      <c r="D108" s="39">
        <v>-25600</v>
      </c>
      <c r="E108" s="24">
        <v>-64.540000000000006</v>
      </c>
      <c r="F108" s="25">
        <v>-2.0070000000000001E-3</v>
      </c>
      <c r="G108" s="75"/>
    </row>
    <row r="109" spans="1:7" x14ac:dyDescent="0.25">
      <c r="A109" s="74" t="s">
        <v>903</v>
      </c>
      <c r="B109" s="31"/>
      <c r="C109" s="31"/>
      <c r="D109" s="39">
        <v>-13000</v>
      </c>
      <c r="E109" s="24">
        <v>-70.16</v>
      </c>
      <c r="F109" s="25">
        <v>-2.1819999999999999E-3</v>
      </c>
      <c r="G109" s="75"/>
    </row>
    <row r="110" spans="1:7" x14ac:dyDescent="0.25">
      <c r="A110" s="74" t="s">
        <v>913</v>
      </c>
      <c r="B110" s="31"/>
      <c r="C110" s="31"/>
      <c r="D110" s="39">
        <v>-9625</v>
      </c>
      <c r="E110" s="24">
        <v>-70.42</v>
      </c>
      <c r="F110" s="25">
        <v>-2.1900000000000001E-3</v>
      </c>
      <c r="G110" s="75"/>
    </row>
    <row r="111" spans="1:7" x14ac:dyDescent="0.25">
      <c r="A111" s="74" t="s">
        <v>992</v>
      </c>
      <c r="B111" s="31"/>
      <c r="C111" s="31"/>
      <c r="D111" s="39">
        <v>-3000</v>
      </c>
      <c r="E111" s="24">
        <v>-72.09</v>
      </c>
      <c r="F111" s="25">
        <v>-2.2420000000000001E-3</v>
      </c>
      <c r="G111" s="75"/>
    </row>
    <row r="112" spans="1:7" x14ac:dyDescent="0.25">
      <c r="A112" s="74" t="s">
        <v>931</v>
      </c>
      <c r="B112" s="31"/>
      <c r="C112" s="31"/>
      <c r="D112" s="39">
        <v>-1950</v>
      </c>
      <c r="E112" s="24">
        <v>-73.19</v>
      </c>
      <c r="F112" s="25">
        <v>-2.2769999999999999E-3</v>
      </c>
      <c r="G112" s="75"/>
    </row>
    <row r="113" spans="1:7" x14ac:dyDescent="0.25">
      <c r="A113" s="74" t="s">
        <v>979</v>
      </c>
      <c r="B113" s="31"/>
      <c r="C113" s="31"/>
      <c r="D113" s="39">
        <v>-9600</v>
      </c>
      <c r="E113" s="24">
        <v>-73.27</v>
      </c>
      <c r="F113" s="25">
        <v>-2.2790000000000002E-3</v>
      </c>
      <c r="G113" s="75"/>
    </row>
    <row r="114" spans="1:7" x14ac:dyDescent="0.25">
      <c r="A114" s="74" t="s">
        <v>957</v>
      </c>
      <c r="B114" s="31"/>
      <c r="C114" s="31"/>
      <c r="D114" s="39">
        <v>-6300</v>
      </c>
      <c r="E114" s="24">
        <v>-73.400000000000006</v>
      </c>
      <c r="F114" s="25">
        <v>-2.2829999999999999E-3</v>
      </c>
      <c r="G114" s="75"/>
    </row>
    <row r="115" spans="1:7" x14ac:dyDescent="0.25">
      <c r="A115" s="74" t="s">
        <v>978</v>
      </c>
      <c r="B115" s="31"/>
      <c r="C115" s="31"/>
      <c r="D115" s="39">
        <v>-3600</v>
      </c>
      <c r="E115" s="24">
        <v>-73.98</v>
      </c>
      <c r="F115" s="25">
        <v>-2.3010000000000001E-3</v>
      </c>
      <c r="G115" s="75"/>
    </row>
    <row r="116" spans="1:7" x14ac:dyDescent="0.25">
      <c r="A116" s="74" t="s">
        <v>823</v>
      </c>
      <c r="B116" s="31"/>
      <c r="C116" s="31"/>
      <c r="D116" s="39">
        <v>-2400</v>
      </c>
      <c r="E116" s="24">
        <v>-74.34</v>
      </c>
      <c r="F116" s="25">
        <v>-2.3119999999999998E-3</v>
      </c>
      <c r="G116" s="75"/>
    </row>
    <row r="117" spans="1:7" x14ac:dyDescent="0.25">
      <c r="A117" s="74" t="s">
        <v>953</v>
      </c>
      <c r="B117" s="31"/>
      <c r="C117" s="31"/>
      <c r="D117" s="39">
        <v>-15000</v>
      </c>
      <c r="E117" s="24">
        <v>-74.42</v>
      </c>
      <c r="F117" s="25">
        <v>-2.3149999999999998E-3</v>
      </c>
      <c r="G117" s="75"/>
    </row>
    <row r="118" spans="1:7" x14ac:dyDescent="0.25">
      <c r="A118" s="74" t="s">
        <v>910</v>
      </c>
      <c r="B118" s="31"/>
      <c r="C118" s="31"/>
      <c r="D118" s="39">
        <v>-57000</v>
      </c>
      <c r="E118" s="24">
        <v>-77.459999999999994</v>
      </c>
      <c r="F118" s="25">
        <v>-2.4099999999999998E-3</v>
      </c>
      <c r="G118" s="75"/>
    </row>
    <row r="119" spans="1:7" x14ac:dyDescent="0.25">
      <c r="A119" s="74" t="s">
        <v>994</v>
      </c>
      <c r="B119" s="31"/>
      <c r="C119" s="31"/>
      <c r="D119" s="39">
        <v>-24800</v>
      </c>
      <c r="E119" s="24">
        <v>-100.63</v>
      </c>
      <c r="F119" s="25">
        <v>-3.13E-3</v>
      </c>
      <c r="G119" s="75"/>
    </row>
    <row r="120" spans="1:7" x14ac:dyDescent="0.25">
      <c r="A120" s="74" t="s">
        <v>995</v>
      </c>
      <c r="B120" s="31"/>
      <c r="C120" s="31"/>
      <c r="D120" s="39">
        <v>-14250</v>
      </c>
      <c r="E120" s="24">
        <v>-107.92</v>
      </c>
      <c r="F120" s="25">
        <v>-3.3570000000000002E-3</v>
      </c>
      <c r="G120" s="75"/>
    </row>
    <row r="121" spans="1:7" x14ac:dyDescent="0.25">
      <c r="A121" s="74" t="s">
        <v>991</v>
      </c>
      <c r="B121" s="31"/>
      <c r="C121" s="31"/>
      <c r="D121" s="39">
        <v>-66000</v>
      </c>
      <c r="E121" s="24">
        <v>-190.87</v>
      </c>
      <c r="F121" s="25">
        <v>-5.9379999999999997E-3</v>
      </c>
      <c r="G121" s="75"/>
    </row>
    <row r="122" spans="1:7" x14ac:dyDescent="0.25">
      <c r="A122" s="74" t="s">
        <v>990</v>
      </c>
      <c r="B122" s="31"/>
      <c r="C122" s="31"/>
      <c r="D122" s="39">
        <v>-323000</v>
      </c>
      <c r="E122" s="24">
        <v>-320.42</v>
      </c>
      <c r="F122" s="25">
        <v>-9.9679999999999994E-3</v>
      </c>
      <c r="G122" s="75"/>
    </row>
    <row r="123" spans="1:7" x14ac:dyDescent="0.25">
      <c r="A123" s="74" t="s">
        <v>980</v>
      </c>
      <c r="B123" s="31"/>
      <c r="C123" s="31"/>
      <c r="D123" s="39">
        <v>-19950</v>
      </c>
      <c r="E123" s="24">
        <v>-333.73</v>
      </c>
      <c r="F123" s="25">
        <v>-1.0383E-2</v>
      </c>
      <c r="G123" s="75"/>
    </row>
    <row r="124" spans="1:7" x14ac:dyDescent="0.25">
      <c r="A124" s="74" t="s">
        <v>933</v>
      </c>
      <c r="B124" s="31"/>
      <c r="C124" s="31"/>
      <c r="D124" s="39">
        <v>-65000</v>
      </c>
      <c r="E124" s="24">
        <v>-347.49</v>
      </c>
      <c r="F124" s="25">
        <v>-1.0810999999999999E-2</v>
      </c>
      <c r="G124" s="75"/>
    </row>
    <row r="125" spans="1:7" x14ac:dyDescent="0.25">
      <c r="A125" s="74" t="s">
        <v>975</v>
      </c>
      <c r="B125" s="31"/>
      <c r="C125" s="31"/>
      <c r="D125" s="39">
        <v>-6500</v>
      </c>
      <c r="E125" s="24">
        <v>-474.81</v>
      </c>
      <c r="F125" s="25">
        <v>-1.4772E-2</v>
      </c>
      <c r="G125" s="75"/>
    </row>
    <row r="126" spans="1:7" x14ac:dyDescent="0.25">
      <c r="A126" s="74" t="s">
        <v>965</v>
      </c>
      <c r="B126" s="31"/>
      <c r="C126" s="31"/>
      <c r="D126" s="39">
        <v>-102000</v>
      </c>
      <c r="E126" s="24">
        <v>-502.35</v>
      </c>
      <c r="F126" s="25">
        <v>-1.5629000000000001E-2</v>
      </c>
      <c r="G126" s="75"/>
    </row>
    <row r="127" spans="1:7" x14ac:dyDescent="0.25">
      <c r="A127" s="74" t="s">
        <v>993</v>
      </c>
      <c r="B127" s="31"/>
      <c r="C127" s="31"/>
      <c r="D127" s="39">
        <v>-34000</v>
      </c>
      <c r="E127" s="24">
        <v>-687.04</v>
      </c>
      <c r="F127" s="25">
        <v>-2.1375000000000002E-2</v>
      </c>
      <c r="G127" s="75"/>
    </row>
    <row r="128" spans="1:7" x14ac:dyDescent="0.25">
      <c r="A128" s="74" t="s">
        <v>1079</v>
      </c>
      <c r="B128" s="31"/>
      <c r="C128" s="31"/>
      <c r="D128" s="39">
        <v>-46200</v>
      </c>
      <c r="E128" s="24">
        <v>-698.04</v>
      </c>
      <c r="F128" s="25">
        <v>-2.1717E-2</v>
      </c>
      <c r="G128" s="75"/>
    </row>
    <row r="129" spans="1:7" x14ac:dyDescent="0.25">
      <c r="A129" s="74" t="s">
        <v>984</v>
      </c>
      <c r="B129" s="31"/>
      <c r="C129" s="31"/>
      <c r="D129" s="39">
        <v>-67150</v>
      </c>
      <c r="E129" s="24">
        <v>-883.06</v>
      </c>
      <c r="F129" s="25">
        <v>-2.7473000000000001E-2</v>
      </c>
      <c r="G129" s="75"/>
    </row>
    <row r="130" spans="1:7" x14ac:dyDescent="0.25">
      <c r="A130" s="74" t="s">
        <v>997</v>
      </c>
      <c r="B130" s="31"/>
      <c r="C130" s="31"/>
      <c r="D130" s="39">
        <v>-152500</v>
      </c>
      <c r="E130" s="24">
        <v>-1186.22</v>
      </c>
      <c r="F130" s="25">
        <v>-3.6905E-2</v>
      </c>
      <c r="G130" s="75"/>
    </row>
    <row r="131" spans="1:7" x14ac:dyDescent="0.25">
      <c r="A131" s="74" t="s">
        <v>996</v>
      </c>
      <c r="B131" s="31"/>
      <c r="C131" s="31"/>
      <c r="D131" s="39">
        <v>-56250</v>
      </c>
      <c r="E131" s="24">
        <v>-1490.88</v>
      </c>
      <c r="F131" s="25">
        <v>-4.6384000000000002E-2</v>
      </c>
      <c r="G131" s="75"/>
    </row>
    <row r="132" spans="1:7" x14ac:dyDescent="0.25">
      <c r="A132" s="76" t="s">
        <v>90</v>
      </c>
      <c r="B132" s="32"/>
      <c r="C132" s="32"/>
      <c r="D132" s="18"/>
      <c r="E132" s="40">
        <v>-7628.45</v>
      </c>
      <c r="F132" s="41">
        <v>-0.237321</v>
      </c>
      <c r="G132" s="77"/>
    </row>
    <row r="133" spans="1:7" x14ac:dyDescent="0.25">
      <c r="A133" s="74"/>
      <c r="B133" s="31"/>
      <c r="C133" s="31"/>
      <c r="D133" s="14"/>
      <c r="E133" s="15"/>
      <c r="F133" s="16"/>
      <c r="G133" s="75"/>
    </row>
    <row r="134" spans="1:7" x14ac:dyDescent="0.25">
      <c r="A134" s="74"/>
      <c r="B134" s="31"/>
      <c r="C134" s="31"/>
      <c r="D134" s="14"/>
      <c r="E134" s="15"/>
      <c r="F134" s="16"/>
      <c r="G134" s="75"/>
    </row>
    <row r="135" spans="1:7" x14ac:dyDescent="0.25">
      <c r="A135" s="76" t="s">
        <v>1081</v>
      </c>
      <c r="B135" s="32"/>
      <c r="C135" s="32"/>
      <c r="D135" s="18"/>
      <c r="E135" s="42"/>
      <c r="F135" s="21"/>
      <c r="G135" s="77"/>
    </row>
    <row r="136" spans="1:7" x14ac:dyDescent="0.25">
      <c r="A136" s="74" t="s">
        <v>1083</v>
      </c>
      <c r="B136" s="31"/>
      <c r="C136" s="31"/>
      <c r="D136" s="14">
        <v>14600</v>
      </c>
      <c r="E136" s="15">
        <v>147.93</v>
      </c>
      <c r="F136" s="16">
        <v>4.5999999999999999E-3</v>
      </c>
      <c r="G136" s="75"/>
    </row>
    <row r="137" spans="1:7" x14ac:dyDescent="0.25">
      <c r="A137" s="74" t="s">
        <v>1082</v>
      </c>
      <c r="B137" s="31"/>
      <c r="C137" s="31"/>
      <c r="D137" s="14">
        <v>3500</v>
      </c>
      <c r="E137" s="15">
        <v>22.1</v>
      </c>
      <c r="F137" s="16">
        <v>6.9999999999999999E-4</v>
      </c>
      <c r="G137" s="75"/>
    </row>
    <row r="138" spans="1:7" x14ac:dyDescent="0.25">
      <c r="A138" s="76" t="s">
        <v>90</v>
      </c>
      <c r="B138" s="32"/>
      <c r="C138" s="32"/>
      <c r="D138" s="18"/>
      <c r="E138" s="35">
        <v>170.03</v>
      </c>
      <c r="F138" s="36">
        <v>5.3E-3</v>
      </c>
      <c r="G138" s="77"/>
    </row>
    <row r="139" spans="1:7" x14ac:dyDescent="0.25">
      <c r="A139" s="74"/>
      <c r="B139" s="31"/>
      <c r="C139" s="31"/>
      <c r="D139" s="14"/>
      <c r="E139" s="15"/>
      <c r="F139" s="16"/>
      <c r="G139" s="75"/>
    </row>
    <row r="140" spans="1:7" x14ac:dyDescent="0.25">
      <c r="A140" s="78" t="s">
        <v>93</v>
      </c>
      <c r="B140" s="79"/>
      <c r="C140" s="79"/>
      <c r="D140" s="80"/>
      <c r="E140" s="35">
        <v>170.03</v>
      </c>
      <c r="F140" s="36">
        <v>5.3E-3</v>
      </c>
      <c r="G140" s="77"/>
    </row>
    <row r="141" spans="1:7" x14ac:dyDescent="0.25">
      <c r="A141" s="74"/>
      <c r="B141" s="31"/>
      <c r="C141" s="31"/>
      <c r="D141" s="14"/>
      <c r="E141" s="15"/>
      <c r="F141" s="16"/>
      <c r="G141" s="75"/>
    </row>
    <row r="142" spans="1:7" x14ac:dyDescent="0.25">
      <c r="A142" s="76" t="s">
        <v>86</v>
      </c>
      <c r="B142" s="32"/>
      <c r="C142" s="32"/>
      <c r="D142" s="18"/>
      <c r="E142" s="42"/>
      <c r="F142" s="21"/>
      <c r="G142" s="77"/>
    </row>
    <row r="143" spans="1:7" x14ac:dyDescent="0.25">
      <c r="A143" s="76" t="s">
        <v>325</v>
      </c>
      <c r="B143" s="31"/>
      <c r="C143" s="31"/>
      <c r="D143" s="14"/>
      <c r="E143" s="15"/>
      <c r="F143" s="16"/>
      <c r="G143" s="75"/>
    </row>
    <row r="144" spans="1:7" x14ac:dyDescent="0.25">
      <c r="A144" s="76" t="s">
        <v>90</v>
      </c>
      <c r="B144" s="31"/>
      <c r="C144" s="31"/>
      <c r="D144" s="14"/>
      <c r="E144" s="37" t="s">
        <v>85</v>
      </c>
      <c r="F144" s="38" t="s">
        <v>85</v>
      </c>
      <c r="G144" s="75"/>
    </row>
    <row r="145" spans="1:7" x14ac:dyDescent="0.25">
      <c r="A145" s="74"/>
      <c r="B145" s="31"/>
      <c r="C145" s="31"/>
      <c r="D145" s="14"/>
      <c r="E145" s="15"/>
      <c r="F145" s="16"/>
      <c r="G145" s="75"/>
    </row>
    <row r="146" spans="1:7" x14ac:dyDescent="0.25">
      <c r="A146" s="76" t="s">
        <v>195</v>
      </c>
      <c r="B146" s="31"/>
      <c r="C146" s="31"/>
      <c r="D146" s="14"/>
      <c r="E146" s="15"/>
      <c r="F146" s="16"/>
      <c r="G146" s="75"/>
    </row>
    <row r="147" spans="1:7" x14ac:dyDescent="0.25">
      <c r="A147" s="74" t="s">
        <v>1885</v>
      </c>
      <c r="B147" s="31" t="s">
        <v>388</v>
      </c>
      <c r="C147" s="31" t="s">
        <v>197</v>
      </c>
      <c r="D147" s="14">
        <v>4900000</v>
      </c>
      <c r="E147" s="15">
        <v>4833.9799999999996</v>
      </c>
      <c r="F147" s="16">
        <v>0.15040000000000001</v>
      </c>
      <c r="G147" s="75">
        <v>6.0107000000000001E-2</v>
      </c>
    </row>
    <row r="148" spans="1:7" x14ac:dyDescent="0.25">
      <c r="A148" s="76" t="s">
        <v>90</v>
      </c>
      <c r="B148" s="32"/>
      <c r="C148" s="32"/>
      <c r="D148" s="18"/>
      <c r="E148" s="35">
        <v>4833.9799999999996</v>
      </c>
      <c r="F148" s="36">
        <v>0.15040000000000001</v>
      </c>
      <c r="G148" s="77"/>
    </row>
    <row r="149" spans="1:7" x14ac:dyDescent="0.25">
      <c r="A149" s="74"/>
      <c r="B149" s="31"/>
      <c r="C149" s="31"/>
      <c r="D149" s="14"/>
      <c r="E149" s="15"/>
      <c r="F149" s="16"/>
      <c r="G149" s="75"/>
    </row>
    <row r="150" spans="1:7" x14ac:dyDescent="0.25">
      <c r="A150" s="74"/>
      <c r="B150" s="31"/>
      <c r="C150" s="31"/>
      <c r="D150" s="14"/>
      <c r="E150" s="15"/>
      <c r="F150" s="16"/>
      <c r="G150" s="75"/>
    </row>
    <row r="151" spans="1:7" x14ac:dyDescent="0.25">
      <c r="A151" s="76" t="s">
        <v>91</v>
      </c>
      <c r="B151" s="31"/>
      <c r="C151" s="31"/>
      <c r="D151" s="14"/>
      <c r="E151" s="15"/>
      <c r="F151" s="16"/>
      <c r="G151" s="75"/>
    </row>
    <row r="152" spans="1:7" x14ac:dyDescent="0.25">
      <c r="A152" s="76" t="s">
        <v>90</v>
      </c>
      <c r="B152" s="31"/>
      <c r="C152" s="31"/>
      <c r="D152" s="14"/>
      <c r="E152" s="37" t="s">
        <v>85</v>
      </c>
      <c r="F152" s="38" t="s">
        <v>85</v>
      </c>
      <c r="G152" s="75"/>
    </row>
    <row r="153" spans="1:7" x14ac:dyDescent="0.25">
      <c r="A153" s="74"/>
      <c r="B153" s="31"/>
      <c r="C153" s="31"/>
      <c r="D153" s="14"/>
      <c r="E153" s="15"/>
      <c r="F153" s="16"/>
      <c r="G153" s="75"/>
    </row>
    <row r="154" spans="1:7" x14ac:dyDescent="0.25">
      <c r="A154" s="76" t="s">
        <v>92</v>
      </c>
      <c r="B154" s="31"/>
      <c r="C154" s="31"/>
      <c r="D154" s="14"/>
      <c r="E154" s="15"/>
      <c r="F154" s="16"/>
      <c r="G154" s="75"/>
    </row>
    <row r="155" spans="1:7" x14ac:dyDescent="0.25">
      <c r="A155" s="76" t="s">
        <v>90</v>
      </c>
      <c r="B155" s="31"/>
      <c r="C155" s="31"/>
      <c r="D155" s="14"/>
      <c r="E155" s="37" t="s">
        <v>85</v>
      </c>
      <c r="F155" s="38" t="s">
        <v>85</v>
      </c>
      <c r="G155" s="75"/>
    </row>
    <row r="156" spans="1:7" x14ac:dyDescent="0.25">
      <c r="A156" s="74"/>
      <c r="B156" s="31"/>
      <c r="C156" s="31"/>
      <c r="D156" s="14"/>
      <c r="E156" s="15"/>
      <c r="F156" s="16"/>
      <c r="G156" s="75"/>
    </row>
    <row r="157" spans="1:7" x14ac:dyDescent="0.25">
      <c r="A157" s="78" t="s">
        <v>93</v>
      </c>
      <c r="B157" s="79"/>
      <c r="C157" s="79"/>
      <c r="D157" s="80"/>
      <c r="E157" s="35">
        <v>4833.9799999999996</v>
      </c>
      <c r="F157" s="36">
        <v>0.15040000000000001</v>
      </c>
      <c r="G157" s="77"/>
    </row>
    <row r="158" spans="1:7" x14ac:dyDescent="0.25">
      <c r="A158" s="74"/>
      <c r="B158" s="31"/>
      <c r="C158" s="31"/>
      <c r="D158" s="14"/>
      <c r="E158" s="15"/>
      <c r="F158" s="16"/>
      <c r="G158" s="75"/>
    </row>
    <row r="159" spans="1:7" x14ac:dyDescent="0.25">
      <c r="A159" s="76" t="s">
        <v>94</v>
      </c>
      <c r="B159" s="31"/>
      <c r="C159" s="31"/>
      <c r="D159" s="14"/>
      <c r="E159" s="15"/>
      <c r="F159" s="16"/>
      <c r="G159" s="75"/>
    </row>
    <row r="160" spans="1:7" x14ac:dyDescent="0.25">
      <c r="A160" s="74"/>
      <c r="B160" s="31"/>
      <c r="C160" s="31"/>
      <c r="D160" s="14"/>
      <c r="E160" s="15"/>
      <c r="F160" s="16"/>
      <c r="G160" s="75"/>
    </row>
    <row r="161" spans="1:7" x14ac:dyDescent="0.25">
      <c r="A161" s="76" t="s">
        <v>330</v>
      </c>
      <c r="B161" s="31"/>
      <c r="C161" s="31"/>
      <c r="D161" s="14"/>
      <c r="E161" s="15"/>
      <c r="F161" s="16"/>
      <c r="G161" s="75"/>
    </row>
    <row r="162" spans="1:7" x14ac:dyDescent="0.25">
      <c r="A162" s="74" t="s">
        <v>1962</v>
      </c>
      <c r="B162" s="31" t="s">
        <v>1107</v>
      </c>
      <c r="C162" s="31" t="s">
        <v>197</v>
      </c>
      <c r="D162" s="14">
        <v>1000000</v>
      </c>
      <c r="E162" s="15">
        <v>992.98</v>
      </c>
      <c r="F162" s="16">
        <v>3.09E-2</v>
      </c>
      <c r="G162" s="75">
        <v>3.7402999999999999E-2</v>
      </c>
    </row>
    <row r="163" spans="1:7" x14ac:dyDescent="0.25">
      <c r="A163" s="76" t="s">
        <v>90</v>
      </c>
      <c r="B163" s="32"/>
      <c r="C163" s="32"/>
      <c r="D163" s="18"/>
      <c r="E163" s="35">
        <v>992.98</v>
      </c>
      <c r="F163" s="36">
        <v>3.09E-2</v>
      </c>
      <c r="G163" s="77"/>
    </row>
    <row r="164" spans="1:7" x14ac:dyDescent="0.25">
      <c r="A164" s="74"/>
      <c r="B164" s="31"/>
      <c r="C164" s="31"/>
      <c r="D164" s="14"/>
      <c r="E164" s="15"/>
      <c r="F164" s="16"/>
      <c r="G164" s="75"/>
    </row>
    <row r="165" spans="1:7" x14ac:dyDescent="0.25">
      <c r="A165" s="78" t="s">
        <v>93</v>
      </c>
      <c r="B165" s="79"/>
      <c r="C165" s="79"/>
      <c r="D165" s="80"/>
      <c r="E165" s="35">
        <v>992.98</v>
      </c>
      <c r="F165" s="36">
        <v>3.09E-2</v>
      </c>
      <c r="G165" s="77"/>
    </row>
    <row r="166" spans="1:7" x14ac:dyDescent="0.25">
      <c r="A166" s="74"/>
      <c r="B166" s="31"/>
      <c r="C166" s="31"/>
      <c r="D166" s="14"/>
      <c r="E166" s="15"/>
      <c r="F166" s="16"/>
      <c r="G166" s="75"/>
    </row>
    <row r="167" spans="1:7" x14ac:dyDescent="0.25">
      <c r="A167" s="74"/>
      <c r="B167" s="31"/>
      <c r="C167" s="31"/>
      <c r="D167" s="14"/>
      <c r="E167" s="15"/>
      <c r="F167" s="16"/>
      <c r="G167" s="75"/>
    </row>
    <row r="168" spans="1:7" x14ac:dyDescent="0.25">
      <c r="A168" s="76" t="s">
        <v>319</v>
      </c>
      <c r="B168" s="31"/>
      <c r="C168" s="31"/>
      <c r="D168" s="14"/>
      <c r="E168" s="15"/>
      <c r="F168" s="16"/>
      <c r="G168" s="75"/>
    </row>
    <row r="169" spans="1:7" x14ac:dyDescent="0.25">
      <c r="A169" s="74" t="s">
        <v>1964</v>
      </c>
      <c r="B169" s="31" t="s">
        <v>1232</v>
      </c>
      <c r="C169" s="31"/>
      <c r="D169" s="14">
        <v>47098.75</v>
      </c>
      <c r="E169" s="15">
        <v>1294.0999999999999</v>
      </c>
      <c r="F169" s="16">
        <v>4.0300000000000002E-2</v>
      </c>
      <c r="G169" s="75"/>
    </row>
    <row r="170" spans="1:7" x14ac:dyDescent="0.25">
      <c r="A170" s="74"/>
      <c r="B170" s="31"/>
      <c r="C170" s="31"/>
      <c r="D170" s="14"/>
      <c r="E170" s="15"/>
      <c r="F170" s="16"/>
      <c r="G170" s="75"/>
    </row>
    <row r="171" spans="1:7" x14ac:dyDescent="0.25">
      <c r="A171" s="78" t="s">
        <v>93</v>
      </c>
      <c r="B171" s="79"/>
      <c r="C171" s="79"/>
      <c r="D171" s="80"/>
      <c r="E171" s="35">
        <v>1294.0999999999999</v>
      </c>
      <c r="F171" s="36">
        <v>4.0300000000000002E-2</v>
      </c>
      <c r="G171" s="77"/>
    </row>
    <row r="172" spans="1:7" x14ac:dyDescent="0.25">
      <c r="A172" s="74"/>
      <c r="B172" s="31"/>
      <c r="C172" s="31"/>
      <c r="D172" s="14"/>
      <c r="E172" s="15"/>
      <c r="F172" s="16"/>
      <c r="G172" s="75"/>
    </row>
    <row r="173" spans="1:7" x14ac:dyDescent="0.25">
      <c r="A173" s="76" t="s">
        <v>110</v>
      </c>
      <c r="B173" s="31"/>
      <c r="C173" s="31"/>
      <c r="D173" s="14"/>
      <c r="E173" s="15"/>
      <c r="F173" s="16"/>
      <c r="G173" s="75"/>
    </row>
    <row r="174" spans="1:7" x14ac:dyDescent="0.25">
      <c r="A174" s="74" t="s">
        <v>111</v>
      </c>
      <c r="B174" s="31"/>
      <c r="C174" s="31"/>
      <c r="D174" s="14"/>
      <c r="E174" s="15">
        <v>799.69</v>
      </c>
      <c r="F174" s="16">
        <v>2.4899999999999999E-2</v>
      </c>
      <c r="G174" s="75">
        <v>3.5790000000000002E-2</v>
      </c>
    </row>
    <row r="175" spans="1:7" x14ac:dyDescent="0.25">
      <c r="A175" s="76" t="s">
        <v>90</v>
      </c>
      <c r="B175" s="32"/>
      <c r="C175" s="32"/>
      <c r="D175" s="18"/>
      <c r="E175" s="35">
        <v>799.69</v>
      </c>
      <c r="F175" s="36">
        <v>2.4899999999999999E-2</v>
      </c>
      <c r="G175" s="77"/>
    </row>
    <row r="176" spans="1:7" x14ac:dyDescent="0.25">
      <c r="A176" s="74"/>
      <c r="B176" s="31"/>
      <c r="C176" s="31"/>
      <c r="D176" s="14"/>
      <c r="E176" s="15"/>
      <c r="F176" s="16"/>
      <c r="G176" s="75"/>
    </row>
    <row r="177" spans="1:9" x14ac:dyDescent="0.25">
      <c r="A177" s="78" t="s">
        <v>93</v>
      </c>
      <c r="B177" s="79"/>
      <c r="C177" s="79"/>
      <c r="D177" s="80"/>
      <c r="E177" s="35">
        <v>799.69</v>
      </c>
      <c r="F177" s="36">
        <v>2.4899999999999999E-2</v>
      </c>
      <c r="G177" s="77"/>
    </row>
    <row r="178" spans="1:9" x14ac:dyDescent="0.25">
      <c r="A178" s="74" t="s">
        <v>112</v>
      </c>
      <c r="B178" s="31"/>
      <c r="C178" s="31"/>
      <c r="D178" s="14"/>
      <c r="E178" s="15">
        <v>129.58405200000001</v>
      </c>
      <c r="F178" s="16">
        <v>4.0309999999999999E-3</v>
      </c>
      <c r="G178" s="75"/>
    </row>
    <row r="179" spans="1:9" x14ac:dyDescent="0.25">
      <c r="A179" s="74" t="s">
        <v>113</v>
      </c>
      <c r="B179" s="31"/>
      <c r="C179" s="31"/>
      <c r="D179" s="14"/>
      <c r="E179" s="15">
        <v>119.26594799999999</v>
      </c>
      <c r="F179" s="16">
        <v>3.869E-3</v>
      </c>
      <c r="G179" s="75">
        <v>3.5790000000000002E-2</v>
      </c>
    </row>
    <row r="180" spans="1:9" x14ac:dyDescent="0.25">
      <c r="A180" s="81" t="s">
        <v>114</v>
      </c>
      <c r="B180" s="34"/>
      <c r="C180" s="34"/>
      <c r="D180" s="27"/>
      <c r="E180" s="28">
        <v>32142.02</v>
      </c>
      <c r="F180" s="29">
        <v>1</v>
      </c>
      <c r="G180" s="82"/>
    </row>
    <row r="181" spans="1:9" x14ac:dyDescent="0.25">
      <c r="A181" s="54"/>
      <c r="B181" s="56"/>
      <c r="C181" s="56"/>
      <c r="D181" s="56"/>
      <c r="E181" s="56"/>
      <c r="F181" s="56"/>
      <c r="G181" s="66"/>
    </row>
    <row r="182" spans="1:9" x14ac:dyDescent="0.25">
      <c r="A182" s="83" t="s">
        <v>1016</v>
      </c>
      <c r="B182" s="56"/>
      <c r="C182" s="56"/>
      <c r="D182" s="56"/>
      <c r="E182" s="56"/>
      <c r="F182" s="56"/>
      <c r="G182" s="66"/>
    </row>
    <row r="183" spans="1:9" x14ac:dyDescent="0.25">
      <c r="A183" s="54"/>
      <c r="B183" s="56"/>
      <c r="C183" s="56"/>
      <c r="D183" s="56"/>
      <c r="E183" s="56"/>
      <c r="F183" s="56"/>
      <c r="G183" s="66"/>
    </row>
    <row r="184" spans="1:9" x14ac:dyDescent="0.25">
      <c r="A184" s="83" t="s">
        <v>1476</v>
      </c>
      <c r="B184" s="56"/>
      <c r="C184" s="56"/>
      <c r="D184" s="56"/>
      <c r="E184" s="56"/>
      <c r="F184" s="56"/>
      <c r="G184" s="66"/>
    </row>
    <row r="185" spans="1:9" x14ac:dyDescent="0.25">
      <c r="A185" s="84" t="s">
        <v>1477</v>
      </c>
      <c r="B185" s="85" t="s">
        <v>85</v>
      </c>
      <c r="C185" s="56"/>
      <c r="D185" s="56"/>
      <c r="E185" s="56"/>
      <c r="F185" s="56"/>
      <c r="G185" s="66"/>
    </row>
    <row r="186" spans="1:9" x14ac:dyDescent="0.25">
      <c r="A186" s="54" t="s">
        <v>1626</v>
      </c>
      <c r="B186" s="56"/>
      <c r="C186" s="56"/>
      <c r="D186" s="56"/>
      <c r="E186" s="56"/>
      <c r="F186" s="56"/>
      <c r="G186" s="66"/>
    </row>
    <row r="187" spans="1:9" x14ac:dyDescent="0.25">
      <c r="A187" s="54" t="s">
        <v>1478</v>
      </c>
      <c r="B187" s="85" t="s">
        <v>1479</v>
      </c>
      <c r="C187" s="85" t="s">
        <v>1479</v>
      </c>
      <c r="D187" s="56"/>
      <c r="E187" s="56"/>
      <c r="F187" s="56"/>
      <c r="G187" s="66"/>
    </row>
    <row r="188" spans="1:9" x14ac:dyDescent="0.25">
      <c r="A188" s="54"/>
      <c r="B188" s="86">
        <v>44469</v>
      </c>
      <c r="C188" s="86">
        <v>44651</v>
      </c>
      <c r="D188" s="56"/>
      <c r="E188" s="56"/>
      <c r="F188" s="56"/>
      <c r="G188" s="66"/>
    </row>
    <row r="189" spans="1:9" x14ac:dyDescent="0.25">
      <c r="A189" s="54" t="s">
        <v>1481</v>
      </c>
      <c r="B189" s="56">
        <v>19.334299999999999</v>
      </c>
      <c r="C189" s="56">
        <v>19.318899999999999</v>
      </c>
      <c r="D189" s="56"/>
      <c r="E189" s="59"/>
      <c r="F189" s="56"/>
      <c r="G189" s="87"/>
      <c r="I189" s="54"/>
    </row>
    <row r="190" spans="1:9" x14ac:dyDescent="0.25">
      <c r="A190" s="54" t="s">
        <v>1483</v>
      </c>
      <c r="B190" s="56">
        <v>19.326699999999999</v>
      </c>
      <c r="C190" s="56">
        <v>19.312200000000001</v>
      </c>
      <c r="D190" s="56"/>
      <c r="E190" s="59"/>
      <c r="F190" s="56"/>
      <c r="G190" s="87"/>
      <c r="I190" s="54"/>
    </row>
    <row r="191" spans="1:9" x14ac:dyDescent="0.25">
      <c r="A191" s="54" t="s">
        <v>1484</v>
      </c>
      <c r="B191" s="56">
        <v>14.250400000000001</v>
      </c>
      <c r="C191" s="56">
        <v>14.0383</v>
      </c>
      <c r="D191" s="56"/>
      <c r="E191" s="59"/>
      <c r="F191" s="56"/>
      <c r="G191" s="87"/>
      <c r="I191" s="54"/>
    </row>
    <row r="192" spans="1:9" x14ac:dyDescent="0.25">
      <c r="A192" s="54" t="s">
        <v>1500</v>
      </c>
      <c r="B192" s="56">
        <v>14.529199999999999</v>
      </c>
      <c r="C192" s="56">
        <v>14.0192</v>
      </c>
      <c r="D192" s="56"/>
      <c r="E192" s="59"/>
      <c r="F192" s="56"/>
      <c r="G192" s="87"/>
      <c r="I192" s="54"/>
    </row>
    <row r="193" spans="1:9" x14ac:dyDescent="0.25">
      <c r="A193" s="54" t="s">
        <v>1492</v>
      </c>
      <c r="B193" s="56">
        <v>18.308599999999998</v>
      </c>
      <c r="C193" s="56">
        <v>18.168199999999999</v>
      </c>
      <c r="D193" s="56"/>
      <c r="E193" s="59"/>
      <c r="F193" s="56"/>
      <c r="G193" s="87"/>
      <c r="I193" s="54"/>
    </row>
    <row r="194" spans="1:9" x14ac:dyDescent="0.25">
      <c r="A194" s="54" t="s">
        <v>1503</v>
      </c>
      <c r="B194" s="56">
        <v>18.299299999999999</v>
      </c>
      <c r="C194" s="101">
        <v>18.16</v>
      </c>
      <c r="D194" s="56"/>
      <c r="E194" s="59"/>
      <c r="F194" s="56"/>
      <c r="G194" s="87"/>
      <c r="I194" s="54"/>
    </row>
    <row r="195" spans="1:9" x14ac:dyDescent="0.25">
      <c r="A195" s="54" t="s">
        <v>1504</v>
      </c>
      <c r="B195" s="56">
        <v>12.850300000000001</v>
      </c>
      <c r="C195" s="56">
        <v>12.5509</v>
      </c>
      <c r="D195" s="56"/>
      <c r="E195" s="59"/>
      <c r="F195" s="56"/>
      <c r="G195" s="87"/>
      <c r="I195" s="54"/>
    </row>
    <row r="196" spans="1:9" x14ac:dyDescent="0.25">
      <c r="A196" s="54" t="s">
        <v>1505</v>
      </c>
      <c r="B196" s="56">
        <v>13.7255</v>
      </c>
      <c r="C196" s="56">
        <v>13.1234</v>
      </c>
      <c r="D196" s="56"/>
      <c r="E196" s="59"/>
      <c r="F196" s="56"/>
      <c r="G196" s="87"/>
      <c r="I196" s="54"/>
    </row>
    <row r="197" spans="1:9" x14ac:dyDescent="0.25">
      <c r="A197" s="54"/>
      <c r="B197" s="56"/>
      <c r="C197" s="56"/>
      <c r="D197" s="56"/>
      <c r="E197" s="59"/>
      <c r="F197" s="56"/>
      <c r="G197" s="87"/>
    </row>
    <row r="198" spans="1:9" x14ac:dyDescent="0.25">
      <c r="A198" s="54" t="s">
        <v>2007</v>
      </c>
      <c r="B198" s="56"/>
      <c r="C198" s="56"/>
      <c r="D198" s="56"/>
      <c r="E198" s="56"/>
      <c r="F198" s="56"/>
      <c r="G198" s="66"/>
    </row>
    <row r="199" spans="1:9" x14ac:dyDescent="0.25">
      <c r="A199" s="54"/>
      <c r="B199" s="56"/>
      <c r="C199" s="56"/>
      <c r="D199" s="56"/>
      <c r="E199" s="56"/>
      <c r="F199" s="56"/>
      <c r="G199" s="66"/>
    </row>
    <row r="200" spans="1:9" x14ac:dyDescent="0.25">
      <c r="A200" s="93" t="s">
        <v>1507</v>
      </c>
      <c r="B200" s="94" t="s">
        <v>1508</v>
      </c>
      <c r="C200" s="95" t="s">
        <v>2018</v>
      </c>
      <c r="D200" s="95" t="s">
        <v>2019</v>
      </c>
      <c r="E200" s="56"/>
      <c r="F200" s="56"/>
      <c r="G200" s="66"/>
    </row>
    <row r="201" spans="1:9" x14ac:dyDescent="0.25">
      <c r="A201" s="96" t="s">
        <v>1515</v>
      </c>
      <c r="B201" s="97"/>
      <c r="C201" s="97">
        <v>0.2</v>
      </c>
      <c r="D201" s="97">
        <v>0.2</v>
      </c>
      <c r="E201" s="56"/>
      <c r="F201" s="56"/>
      <c r="G201" s="66"/>
    </row>
    <row r="202" spans="1:9" x14ac:dyDescent="0.25">
      <c r="A202" s="96" t="s">
        <v>1517</v>
      </c>
      <c r="B202" s="97"/>
      <c r="C202" s="97">
        <v>0.5</v>
      </c>
      <c r="D202" s="97">
        <v>0.5</v>
      </c>
      <c r="E202" s="56"/>
      <c r="F202" s="56"/>
      <c r="G202" s="66"/>
    </row>
    <row r="203" spans="1:9" x14ac:dyDescent="0.25">
      <c r="A203" s="96" t="s">
        <v>1513</v>
      </c>
      <c r="B203" s="97"/>
      <c r="C203" s="97">
        <v>0.2</v>
      </c>
      <c r="D203" s="97">
        <v>0.2</v>
      </c>
      <c r="E203" s="56"/>
      <c r="F203" s="56"/>
      <c r="G203" s="66"/>
    </row>
    <row r="204" spans="1:9" x14ac:dyDescent="0.25">
      <c r="A204" s="96" t="s">
        <v>1511</v>
      </c>
      <c r="B204" s="97"/>
      <c r="C204" s="97">
        <v>0.5</v>
      </c>
      <c r="D204" s="97">
        <v>0.5</v>
      </c>
      <c r="E204" s="56"/>
      <c r="F204" s="56"/>
      <c r="G204" s="66"/>
    </row>
    <row r="205" spans="1:9" x14ac:dyDescent="0.25">
      <c r="A205" s="54"/>
      <c r="B205" s="56"/>
      <c r="C205" s="56"/>
      <c r="D205" s="56"/>
      <c r="E205" s="56"/>
      <c r="F205" s="56"/>
      <c r="G205" s="66"/>
    </row>
    <row r="206" spans="1:9" x14ac:dyDescent="0.25">
      <c r="A206" s="54" t="s">
        <v>2008</v>
      </c>
      <c r="B206" s="85" t="s">
        <v>85</v>
      </c>
      <c r="C206" s="56"/>
      <c r="D206" s="56"/>
      <c r="E206" s="56"/>
      <c r="F206" s="56"/>
      <c r="G206" s="66"/>
    </row>
    <row r="207" spans="1:9" ht="21" customHeight="1" x14ac:dyDescent="0.25">
      <c r="A207" s="84" t="s">
        <v>2009</v>
      </c>
      <c r="B207" s="85" t="s">
        <v>85</v>
      </c>
      <c r="C207" s="56"/>
      <c r="D207" s="56"/>
      <c r="E207" s="56"/>
      <c r="F207" s="56"/>
      <c r="G207" s="66"/>
    </row>
    <row r="208" spans="1:9" x14ac:dyDescent="0.25">
      <c r="A208" s="84" t="s">
        <v>2010</v>
      </c>
      <c r="B208" s="85" t="s">
        <v>85</v>
      </c>
      <c r="C208" s="56"/>
      <c r="D208" s="56"/>
      <c r="E208" s="56"/>
      <c r="F208" s="56"/>
      <c r="G208" s="66"/>
    </row>
    <row r="209" spans="1:7" x14ac:dyDescent="0.25">
      <c r="A209" s="54" t="s">
        <v>1529</v>
      </c>
      <c r="B209" s="88">
        <v>5.6169859999999998</v>
      </c>
      <c r="C209" s="56"/>
      <c r="D209" s="56"/>
      <c r="E209" s="56"/>
      <c r="F209" s="56"/>
      <c r="G209" s="66"/>
    </row>
    <row r="210" spans="1:7" ht="30" x14ac:dyDescent="0.25">
      <c r="A210" s="84" t="s">
        <v>2011</v>
      </c>
      <c r="B210" s="88">
        <v>873.36180000000002</v>
      </c>
      <c r="C210" s="56"/>
      <c r="D210" s="56"/>
      <c r="E210" s="56"/>
      <c r="F210" s="56"/>
      <c r="G210" s="66"/>
    </row>
    <row r="211" spans="1:7" ht="30" x14ac:dyDescent="0.25">
      <c r="A211" s="84" t="s">
        <v>1495</v>
      </c>
      <c r="B211" s="85" t="s">
        <v>85</v>
      </c>
      <c r="C211" s="56"/>
      <c r="D211" s="56"/>
      <c r="E211" s="56"/>
      <c r="F211" s="56"/>
      <c r="G211" s="66"/>
    </row>
    <row r="212" spans="1:7" x14ac:dyDescent="0.25">
      <c r="A212" s="54" t="s">
        <v>1607</v>
      </c>
      <c r="B212" s="85" t="s">
        <v>85</v>
      </c>
      <c r="C212" s="56"/>
      <c r="D212" s="56"/>
      <c r="E212" s="56"/>
      <c r="F212" s="56"/>
      <c r="G212" s="66"/>
    </row>
    <row r="213" spans="1:7" x14ac:dyDescent="0.25">
      <c r="A213" s="54" t="s">
        <v>1608</v>
      </c>
      <c r="B213" s="85" t="s">
        <v>85</v>
      </c>
      <c r="C213" s="56"/>
      <c r="D213" s="56"/>
      <c r="E213" s="56"/>
      <c r="F213" s="56"/>
      <c r="G213" s="66"/>
    </row>
    <row r="214" spans="1:7" ht="15.75" thickBot="1" x14ac:dyDescent="0.3">
      <c r="A214" s="89"/>
      <c r="B214" s="90"/>
      <c r="C214" s="90"/>
      <c r="D214" s="90"/>
      <c r="E214" s="90"/>
      <c r="F214" s="90"/>
      <c r="G214" s="91"/>
    </row>
    <row r="217" spans="1:7" ht="30" x14ac:dyDescent="0.25">
      <c r="A217" s="107" t="s">
        <v>2042</v>
      </c>
      <c r="B217" s="108" t="s">
        <v>2043</v>
      </c>
      <c r="C217" s="108" t="s">
        <v>2044</v>
      </c>
      <c r="D217" s="109" t="s">
        <v>2045</v>
      </c>
    </row>
    <row r="218" spans="1:7" ht="51" customHeight="1" x14ac:dyDescent="0.25">
      <c r="A218" s="110" t="str">
        <f>HYPERLINK("[EDEL_Portfolio Monthly 31-Mar-2022.xlsx]EEESSF!A1","Edelweiss Equity Savings Fund")</f>
        <v>Edelweiss Equity Savings Fund</v>
      </c>
      <c r="B218" s="111"/>
      <c r="C218" s="111" t="s">
        <v>2065</v>
      </c>
      <c r="D218" s="111"/>
    </row>
  </sheetData>
  <mergeCells count="2">
    <mergeCell ref="A3:G3"/>
    <mergeCell ref="A4:G4"/>
  </mergeCells>
  <pageMargins left="0.7" right="0.7" top="0.75" bottom="0.75" header="0.3" footer="0.3"/>
  <pageSetup orientation="portrait" horizontalDpi="300" verticalDpi="30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94"/>
  <sheetViews>
    <sheetView showGridLines="0" workbookViewId="0">
      <pane ySplit="6" topLeftCell="A52"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31.140625" bestFit="1"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2015</v>
      </c>
      <c r="B3" s="139"/>
      <c r="C3" s="139"/>
      <c r="D3" s="139"/>
      <c r="E3" s="139"/>
      <c r="F3" s="139"/>
      <c r="G3" s="140"/>
      <c r="H3" s="46" t="str">
        <f>HYPERLINK("[EDEL_Portfolio HY 31032022.xlsx]Index!A1","Index")</f>
        <v>Index</v>
      </c>
    </row>
    <row r="4" spans="1:8" ht="19.5" customHeight="1" x14ac:dyDescent="0.25">
      <c r="A4" s="141" t="s">
        <v>53</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6" t="s">
        <v>84</v>
      </c>
      <c r="B8" s="31"/>
      <c r="C8" s="31"/>
      <c r="D8" s="14"/>
      <c r="E8" s="15"/>
      <c r="F8" s="16"/>
      <c r="G8" s="75"/>
    </row>
    <row r="9" spans="1:8" x14ac:dyDescent="0.25">
      <c r="A9" s="76" t="s">
        <v>435</v>
      </c>
      <c r="B9" s="31"/>
      <c r="C9" s="31"/>
      <c r="D9" s="14"/>
      <c r="E9" s="15"/>
      <c r="F9" s="16"/>
      <c r="G9" s="75"/>
    </row>
    <row r="10" spans="1:8" x14ac:dyDescent="0.25">
      <c r="A10" s="74" t="s">
        <v>504</v>
      </c>
      <c r="B10" s="31" t="s">
        <v>505</v>
      </c>
      <c r="C10" s="31" t="s">
        <v>2028</v>
      </c>
      <c r="D10" s="14">
        <v>17337</v>
      </c>
      <c r="E10" s="15">
        <v>43.46</v>
      </c>
      <c r="F10" s="16">
        <v>5.8599999999999999E-2</v>
      </c>
      <c r="G10" s="75"/>
    </row>
    <row r="11" spans="1:8" x14ac:dyDescent="0.25">
      <c r="A11" s="74" t="s">
        <v>472</v>
      </c>
      <c r="B11" s="31" t="s">
        <v>473</v>
      </c>
      <c r="C11" s="31" t="s">
        <v>2027</v>
      </c>
      <c r="D11" s="14">
        <v>2021</v>
      </c>
      <c r="E11" s="15">
        <v>38.54</v>
      </c>
      <c r="F11" s="16">
        <v>5.1999999999999998E-2</v>
      </c>
      <c r="G11" s="75"/>
    </row>
    <row r="12" spans="1:8" x14ac:dyDescent="0.25">
      <c r="A12" s="74" t="s">
        <v>584</v>
      </c>
      <c r="B12" s="31" t="s">
        <v>585</v>
      </c>
      <c r="C12" s="31" t="s">
        <v>2027</v>
      </c>
      <c r="D12" s="14">
        <v>1029</v>
      </c>
      <c r="E12" s="15">
        <v>38.479999999999997</v>
      </c>
      <c r="F12" s="16">
        <v>5.1900000000000002E-2</v>
      </c>
      <c r="G12" s="75"/>
    </row>
    <row r="13" spans="1:8" x14ac:dyDescent="0.25">
      <c r="A13" s="74" t="s">
        <v>549</v>
      </c>
      <c r="B13" s="31" t="s">
        <v>550</v>
      </c>
      <c r="C13" s="31" t="s">
        <v>465</v>
      </c>
      <c r="D13" s="14">
        <v>2612</v>
      </c>
      <c r="E13" s="15">
        <v>38.409999999999997</v>
      </c>
      <c r="F13" s="16">
        <v>5.1799999999999999E-2</v>
      </c>
      <c r="G13" s="75"/>
    </row>
    <row r="14" spans="1:8" x14ac:dyDescent="0.25">
      <c r="A14" s="74" t="s">
        <v>803</v>
      </c>
      <c r="B14" s="31" t="s">
        <v>804</v>
      </c>
      <c r="C14" s="31" t="s">
        <v>2028</v>
      </c>
      <c r="D14" s="14">
        <v>1133</v>
      </c>
      <c r="E14" s="15">
        <v>34.9</v>
      </c>
      <c r="F14" s="16">
        <v>4.7100000000000003E-2</v>
      </c>
      <c r="G14" s="75"/>
    </row>
    <row r="15" spans="1:8" x14ac:dyDescent="0.25">
      <c r="A15" s="74" t="s">
        <v>510</v>
      </c>
      <c r="B15" s="31" t="s">
        <v>511</v>
      </c>
      <c r="C15" s="31" t="s">
        <v>2027</v>
      </c>
      <c r="D15" s="14">
        <v>2971</v>
      </c>
      <c r="E15" s="15">
        <v>34.58</v>
      </c>
      <c r="F15" s="16">
        <v>4.6600000000000003E-2</v>
      </c>
      <c r="G15" s="75"/>
    </row>
    <row r="16" spans="1:8" x14ac:dyDescent="0.25">
      <c r="A16" s="74" t="s">
        <v>563</v>
      </c>
      <c r="B16" s="31" t="s">
        <v>564</v>
      </c>
      <c r="C16" s="31" t="s">
        <v>2028</v>
      </c>
      <c r="D16" s="14">
        <v>197</v>
      </c>
      <c r="E16" s="15">
        <v>34.24</v>
      </c>
      <c r="F16" s="16">
        <v>4.6199999999999998E-2</v>
      </c>
      <c r="G16" s="75"/>
    </row>
    <row r="17" spans="1:7" x14ac:dyDescent="0.25">
      <c r="A17" s="74" t="s">
        <v>483</v>
      </c>
      <c r="B17" s="31" t="s">
        <v>484</v>
      </c>
      <c r="C17" s="31" t="s">
        <v>2028</v>
      </c>
      <c r="D17" s="14">
        <v>1652</v>
      </c>
      <c r="E17" s="15">
        <v>33.840000000000003</v>
      </c>
      <c r="F17" s="16">
        <v>4.5699999999999998E-2</v>
      </c>
      <c r="G17" s="75"/>
    </row>
    <row r="18" spans="1:7" x14ac:dyDescent="0.25">
      <c r="A18" s="74" t="s">
        <v>490</v>
      </c>
      <c r="B18" s="31" t="s">
        <v>491</v>
      </c>
      <c r="C18" s="31" t="s">
        <v>450</v>
      </c>
      <c r="D18" s="14">
        <v>431</v>
      </c>
      <c r="E18" s="15">
        <v>31.29</v>
      </c>
      <c r="F18" s="16">
        <v>4.2200000000000001E-2</v>
      </c>
      <c r="G18" s="75"/>
    </row>
    <row r="19" spans="1:7" x14ac:dyDescent="0.25">
      <c r="A19" s="74" t="s">
        <v>582</v>
      </c>
      <c r="B19" s="31" t="s">
        <v>583</v>
      </c>
      <c r="C19" s="31" t="s">
        <v>2032</v>
      </c>
      <c r="D19" s="14">
        <v>373</v>
      </c>
      <c r="E19" s="15">
        <v>28.2</v>
      </c>
      <c r="F19" s="16">
        <v>3.7999999999999999E-2</v>
      </c>
      <c r="G19" s="75"/>
    </row>
    <row r="20" spans="1:7" x14ac:dyDescent="0.25">
      <c r="A20" s="74" t="s">
        <v>653</v>
      </c>
      <c r="B20" s="31" t="s">
        <v>654</v>
      </c>
      <c r="C20" s="31" t="s">
        <v>2027</v>
      </c>
      <c r="D20" s="14">
        <v>1859</v>
      </c>
      <c r="E20" s="15">
        <v>27.87</v>
      </c>
      <c r="F20" s="16">
        <v>3.7600000000000001E-2</v>
      </c>
      <c r="G20" s="75"/>
    </row>
    <row r="21" spans="1:7" x14ac:dyDescent="0.25">
      <c r="A21" s="74" t="s">
        <v>785</v>
      </c>
      <c r="B21" s="31" t="s">
        <v>786</v>
      </c>
      <c r="C21" s="31" t="s">
        <v>2026</v>
      </c>
      <c r="D21" s="14">
        <v>14972</v>
      </c>
      <c r="E21" s="15">
        <v>27.41</v>
      </c>
      <c r="F21" s="16">
        <v>3.6999999999999998E-2</v>
      </c>
      <c r="G21" s="75"/>
    </row>
    <row r="22" spans="1:7" x14ac:dyDescent="0.25">
      <c r="A22" s="74" t="s">
        <v>777</v>
      </c>
      <c r="B22" s="31" t="s">
        <v>778</v>
      </c>
      <c r="C22" s="31" t="s">
        <v>1429</v>
      </c>
      <c r="D22" s="14">
        <v>595</v>
      </c>
      <c r="E22" s="15">
        <v>26.19</v>
      </c>
      <c r="F22" s="16">
        <v>3.5299999999999998E-2</v>
      </c>
      <c r="G22" s="75"/>
    </row>
    <row r="23" spans="1:7" x14ac:dyDescent="0.25">
      <c r="A23" s="74" t="s">
        <v>1071</v>
      </c>
      <c r="B23" s="31" t="s">
        <v>1072</v>
      </c>
      <c r="C23" s="31" t="s">
        <v>2032</v>
      </c>
      <c r="D23" s="14">
        <v>711</v>
      </c>
      <c r="E23" s="15">
        <v>25.97</v>
      </c>
      <c r="F23" s="16">
        <v>3.5000000000000003E-2</v>
      </c>
      <c r="G23" s="75"/>
    </row>
    <row r="24" spans="1:7" x14ac:dyDescent="0.25">
      <c r="A24" s="74" t="s">
        <v>1099</v>
      </c>
      <c r="B24" s="31" t="s">
        <v>1100</v>
      </c>
      <c r="C24" s="31" t="s">
        <v>2028</v>
      </c>
      <c r="D24" s="14">
        <v>755</v>
      </c>
      <c r="E24" s="15">
        <v>24.21</v>
      </c>
      <c r="F24" s="16">
        <v>3.27E-2</v>
      </c>
      <c r="G24" s="75"/>
    </row>
    <row r="25" spans="1:7" x14ac:dyDescent="0.25">
      <c r="A25" s="74" t="s">
        <v>1040</v>
      </c>
      <c r="B25" s="31" t="s">
        <v>1041</v>
      </c>
      <c r="C25" s="31" t="s">
        <v>2028</v>
      </c>
      <c r="D25" s="14">
        <v>1445</v>
      </c>
      <c r="E25" s="15">
        <v>22.29</v>
      </c>
      <c r="F25" s="16">
        <v>3.0099999999999998E-2</v>
      </c>
      <c r="G25" s="75"/>
    </row>
    <row r="26" spans="1:7" x14ac:dyDescent="0.25">
      <c r="A26" s="74" t="s">
        <v>791</v>
      </c>
      <c r="B26" s="31" t="s">
        <v>792</v>
      </c>
      <c r="C26" s="31" t="s">
        <v>2028</v>
      </c>
      <c r="D26" s="14">
        <v>4297</v>
      </c>
      <c r="E26" s="15">
        <v>21.64</v>
      </c>
      <c r="F26" s="16">
        <v>2.92E-2</v>
      </c>
      <c r="G26" s="75"/>
    </row>
    <row r="27" spans="1:7" x14ac:dyDescent="0.25">
      <c r="A27" s="74" t="s">
        <v>809</v>
      </c>
      <c r="B27" s="31" t="s">
        <v>810</v>
      </c>
      <c r="C27" s="31" t="s">
        <v>2030</v>
      </c>
      <c r="D27" s="14">
        <v>869</v>
      </c>
      <c r="E27" s="15">
        <v>21.33</v>
      </c>
      <c r="F27" s="16">
        <v>2.8799999999999999E-2</v>
      </c>
      <c r="G27" s="75"/>
    </row>
    <row r="28" spans="1:7" x14ac:dyDescent="0.25">
      <c r="A28" s="74" t="s">
        <v>716</v>
      </c>
      <c r="B28" s="31" t="s">
        <v>717</v>
      </c>
      <c r="C28" s="31" t="s">
        <v>615</v>
      </c>
      <c r="D28" s="14">
        <v>809</v>
      </c>
      <c r="E28" s="15">
        <v>20.52</v>
      </c>
      <c r="F28" s="16">
        <v>2.7699999999999999E-2</v>
      </c>
      <c r="G28" s="75"/>
    </row>
    <row r="29" spans="1:7" x14ac:dyDescent="0.25">
      <c r="A29" s="74" t="s">
        <v>795</v>
      </c>
      <c r="B29" s="31" t="s">
        <v>796</v>
      </c>
      <c r="C29" s="31" t="s">
        <v>2028</v>
      </c>
      <c r="D29" s="14">
        <v>3760</v>
      </c>
      <c r="E29" s="15">
        <v>20.16</v>
      </c>
      <c r="F29" s="16">
        <v>2.7199999999999998E-2</v>
      </c>
      <c r="G29" s="75"/>
    </row>
    <row r="30" spans="1:7" x14ac:dyDescent="0.25">
      <c r="A30" s="74" t="s">
        <v>663</v>
      </c>
      <c r="B30" s="31" t="s">
        <v>664</v>
      </c>
      <c r="C30" s="31" t="s">
        <v>2027</v>
      </c>
      <c r="D30" s="14">
        <v>316</v>
      </c>
      <c r="E30" s="15">
        <v>19.45</v>
      </c>
      <c r="F30" s="16">
        <v>2.6200000000000001E-2</v>
      </c>
      <c r="G30" s="75"/>
    </row>
    <row r="31" spans="1:7" x14ac:dyDescent="0.25">
      <c r="A31" s="74" t="s">
        <v>590</v>
      </c>
      <c r="B31" s="31" t="s">
        <v>591</v>
      </c>
      <c r="C31" s="31" t="s">
        <v>2032</v>
      </c>
      <c r="D31" s="14">
        <v>819</v>
      </c>
      <c r="E31" s="15">
        <v>18.79</v>
      </c>
      <c r="F31" s="16">
        <v>2.53E-2</v>
      </c>
      <c r="G31" s="75"/>
    </row>
    <row r="32" spans="1:7" x14ac:dyDescent="0.25">
      <c r="A32" s="74" t="s">
        <v>673</v>
      </c>
      <c r="B32" s="31" t="s">
        <v>674</v>
      </c>
      <c r="C32" s="31" t="s">
        <v>2032</v>
      </c>
      <c r="D32" s="14">
        <v>683</v>
      </c>
      <c r="E32" s="15">
        <v>16.78</v>
      </c>
      <c r="F32" s="16">
        <v>2.2599999999999999E-2</v>
      </c>
      <c r="G32" s="75"/>
    </row>
    <row r="33" spans="1:7" x14ac:dyDescent="0.25">
      <c r="A33" s="74" t="s">
        <v>613</v>
      </c>
      <c r="B33" s="31" t="s">
        <v>614</v>
      </c>
      <c r="C33" s="31" t="s">
        <v>615</v>
      </c>
      <c r="D33" s="14">
        <v>1442</v>
      </c>
      <c r="E33" s="15">
        <v>16.62</v>
      </c>
      <c r="F33" s="16">
        <v>2.24E-2</v>
      </c>
      <c r="G33" s="75"/>
    </row>
    <row r="34" spans="1:7" x14ac:dyDescent="0.25">
      <c r="A34" s="74" t="s">
        <v>565</v>
      </c>
      <c r="B34" s="31" t="s">
        <v>566</v>
      </c>
      <c r="C34" s="31" t="s">
        <v>2028</v>
      </c>
      <c r="D34" s="14">
        <v>1848</v>
      </c>
      <c r="E34" s="15">
        <v>13.81</v>
      </c>
      <c r="F34" s="16">
        <v>1.8599999999999998E-2</v>
      </c>
      <c r="G34" s="75"/>
    </row>
    <row r="35" spans="1:7" x14ac:dyDescent="0.25">
      <c r="A35" s="74" t="s">
        <v>813</v>
      </c>
      <c r="B35" s="31" t="s">
        <v>814</v>
      </c>
      <c r="C35" s="31" t="s">
        <v>2028</v>
      </c>
      <c r="D35" s="14">
        <v>1931</v>
      </c>
      <c r="E35" s="15">
        <v>13.51</v>
      </c>
      <c r="F35" s="16">
        <v>1.8200000000000001E-2</v>
      </c>
      <c r="G35" s="75"/>
    </row>
    <row r="36" spans="1:7" x14ac:dyDescent="0.25">
      <c r="A36" s="74" t="s">
        <v>551</v>
      </c>
      <c r="B36" s="31" t="s">
        <v>552</v>
      </c>
      <c r="C36" s="31" t="s">
        <v>450</v>
      </c>
      <c r="D36" s="14">
        <v>979</v>
      </c>
      <c r="E36" s="15">
        <v>13.03</v>
      </c>
      <c r="F36" s="16">
        <v>1.7600000000000001E-2</v>
      </c>
      <c r="G36" s="75"/>
    </row>
    <row r="37" spans="1:7" x14ac:dyDescent="0.25">
      <c r="A37" s="74" t="s">
        <v>712</v>
      </c>
      <c r="B37" s="31" t="s">
        <v>713</v>
      </c>
      <c r="C37" s="31" t="s">
        <v>1429</v>
      </c>
      <c r="D37" s="14">
        <v>1642</v>
      </c>
      <c r="E37" s="15">
        <v>10.98</v>
      </c>
      <c r="F37" s="16">
        <v>1.4800000000000001E-2</v>
      </c>
      <c r="G37" s="75"/>
    </row>
    <row r="38" spans="1:7" x14ac:dyDescent="0.25">
      <c r="A38" s="74" t="s">
        <v>767</v>
      </c>
      <c r="B38" s="31" t="s">
        <v>768</v>
      </c>
      <c r="C38" s="31" t="s">
        <v>626</v>
      </c>
      <c r="D38" s="14">
        <v>2824</v>
      </c>
      <c r="E38" s="15">
        <v>10.54</v>
      </c>
      <c r="F38" s="16">
        <v>1.4200000000000001E-2</v>
      </c>
      <c r="G38" s="75"/>
    </row>
    <row r="39" spans="1:7" x14ac:dyDescent="0.25">
      <c r="A39" s="74" t="s">
        <v>789</v>
      </c>
      <c r="B39" s="31" t="s">
        <v>790</v>
      </c>
      <c r="C39" s="31" t="s">
        <v>2025</v>
      </c>
      <c r="D39" s="14">
        <v>71</v>
      </c>
      <c r="E39" s="15">
        <v>10.25</v>
      </c>
      <c r="F39" s="16">
        <v>1.38E-2</v>
      </c>
      <c r="G39" s="75"/>
    </row>
    <row r="40" spans="1:7" x14ac:dyDescent="0.25">
      <c r="A40" s="76" t="s">
        <v>90</v>
      </c>
      <c r="B40" s="32"/>
      <c r="C40" s="32"/>
      <c r="D40" s="18"/>
      <c r="E40" s="35">
        <v>737.29</v>
      </c>
      <c r="F40" s="36">
        <v>0.99439999999999995</v>
      </c>
      <c r="G40" s="77"/>
    </row>
    <row r="41" spans="1:7" x14ac:dyDescent="0.25">
      <c r="A41" s="76" t="s">
        <v>815</v>
      </c>
      <c r="B41" s="31"/>
      <c r="C41" s="31"/>
      <c r="D41" s="14"/>
      <c r="E41" s="15"/>
      <c r="F41" s="16"/>
      <c r="G41" s="75"/>
    </row>
    <row r="42" spans="1:7" x14ac:dyDescent="0.25">
      <c r="A42" s="76" t="s">
        <v>90</v>
      </c>
      <c r="B42" s="31"/>
      <c r="C42" s="31"/>
      <c r="D42" s="14"/>
      <c r="E42" s="37" t="s">
        <v>85</v>
      </c>
      <c r="F42" s="38" t="s">
        <v>85</v>
      </c>
      <c r="G42" s="75"/>
    </row>
    <row r="43" spans="1:7" x14ac:dyDescent="0.25">
      <c r="A43" s="78" t="s">
        <v>93</v>
      </c>
      <c r="B43" s="79"/>
      <c r="C43" s="79"/>
      <c r="D43" s="80"/>
      <c r="E43" s="28">
        <v>737.29</v>
      </c>
      <c r="F43" s="29">
        <v>0.99439999999999995</v>
      </c>
      <c r="G43" s="77"/>
    </row>
    <row r="44" spans="1:7" x14ac:dyDescent="0.25">
      <c r="A44" s="74"/>
      <c r="B44" s="31"/>
      <c r="C44" s="31"/>
      <c r="D44" s="14"/>
      <c r="E44" s="15"/>
      <c r="F44" s="16"/>
      <c r="G44" s="75"/>
    </row>
    <row r="45" spans="1:7" x14ac:dyDescent="0.25">
      <c r="A45" s="76" t="s">
        <v>86</v>
      </c>
      <c r="B45" s="31"/>
      <c r="C45" s="31"/>
      <c r="D45" s="14"/>
      <c r="E45" s="15"/>
      <c r="F45" s="16"/>
      <c r="G45" s="75"/>
    </row>
    <row r="46" spans="1:7" x14ac:dyDescent="0.25">
      <c r="A46" s="76" t="s">
        <v>87</v>
      </c>
      <c r="B46" s="31"/>
      <c r="C46" s="31"/>
      <c r="D46" s="14"/>
      <c r="E46" s="15"/>
      <c r="F46" s="16"/>
      <c r="G46" s="75"/>
    </row>
    <row r="47" spans="1:7" x14ac:dyDescent="0.25">
      <c r="A47" s="74" t="s">
        <v>1965</v>
      </c>
      <c r="B47" s="31" t="s">
        <v>1089</v>
      </c>
      <c r="C47" s="31" t="s">
        <v>121</v>
      </c>
      <c r="D47" s="14">
        <v>778</v>
      </c>
      <c r="E47" s="15">
        <v>0.22</v>
      </c>
      <c r="F47" s="16">
        <v>2.9999999999999997E-4</v>
      </c>
      <c r="G47" s="75">
        <v>5.6500000000000002E-2</v>
      </c>
    </row>
    <row r="48" spans="1:7" x14ac:dyDescent="0.25">
      <c r="A48" s="76" t="s">
        <v>90</v>
      </c>
      <c r="B48" s="32"/>
      <c r="C48" s="32"/>
      <c r="D48" s="18"/>
      <c r="E48" s="35">
        <v>0.22</v>
      </c>
      <c r="F48" s="36">
        <v>2.9999999999999997E-4</v>
      </c>
      <c r="G48" s="77"/>
    </row>
    <row r="49" spans="1:7" x14ac:dyDescent="0.25">
      <c r="A49" s="74"/>
      <c r="B49" s="31"/>
      <c r="C49" s="31"/>
      <c r="D49" s="14"/>
      <c r="E49" s="15"/>
      <c r="F49" s="16"/>
      <c r="G49" s="75"/>
    </row>
    <row r="50" spans="1:7" x14ac:dyDescent="0.25">
      <c r="A50" s="76" t="s">
        <v>91</v>
      </c>
      <c r="B50" s="31"/>
      <c r="C50" s="31"/>
      <c r="D50" s="14"/>
      <c r="E50" s="15"/>
      <c r="F50" s="16"/>
      <c r="G50" s="75"/>
    </row>
    <row r="51" spans="1:7" x14ac:dyDescent="0.25">
      <c r="A51" s="76" t="s">
        <v>90</v>
      </c>
      <c r="B51" s="31"/>
      <c r="C51" s="31"/>
      <c r="D51" s="14"/>
      <c r="E51" s="37" t="s">
        <v>85</v>
      </c>
      <c r="F51" s="38" t="s">
        <v>85</v>
      </c>
      <c r="G51" s="75"/>
    </row>
    <row r="52" spans="1:7" x14ac:dyDescent="0.25">
      <c r="A52" s="74"/>
      <c r="B52" s="31"/>
      <c r="C52" s="31"/>
      <c r="D52" s="14"/>
      <c r="E52" s="15"/>
      <c r="F52" s="16"/>
      <c r="G52" s="75"/>
    </row>
    <row r="53" spans="1:7" x14ac:dyDescent="0.25">
      <c r="A53" s="76" t="s">
        <v>92</v>
      </c>
      <c r="B53" s="31"/>
      <c r="C53" s="31"/>
      <c r="D53" s="14"/>
      <c r="E53" s="15"/>
      <c r="F53" s="16"/>
      <c r="G53" s="75"/>
    </row>
    <row r="54" spans="1:7" x14ac:dyDescent="0.25">
      <c r="A54" s="76" t="s">
        <v>90</v>
      </c>
      <c r="B54" s="31"/>
      <c r="C54" s="31"/>
      <c r="D54" s="14"/>
      <c r="E54" s="37" t="s">
        <v>85</v>
      </c>
      <c r="F54" s="38" t="s">
        <v>85</v>
      </c>
      <c r="G54" s="75"/>
    </row>
    <row r="55" spans="1:7" x14ac:dyDescent="0.25">
      <c r="A55" s="74"/>
      <c r="B55" s="31"/>
      <c r="C55" s="31"/>
      <c r="D55" s="14"/>
      <c r="E55" s="15"/>
      <c r="F55" s="16"/>
      <c r="G55" s="75"/>
    </row>
    <row r="56" spans="1:7" x14ac:dyDescent="0.25">
      <c r="A56" s="78" t="s">
        <v>93</v>
      </c>
      <c r="B56" s="79"/>
      <c r="C56" s="79"/>
      <c r="D56" s="80"/>
      <c r="E56" s="35">
        <v>0.22</v>
      </c>
      <c r="F56" s="36">
        <v>2.9999999999999997E-4</v>
      </c>
      <c r="G56" s="77"/>
    </row>
    <row r="57" spans="1:7" x14ac:dyDescent="0.25">
      <c r="A57" s="74"/>
      <c r="B57" s="31"/>
      <c r="C57" s="31"/>
      <c r="D57" s="14"/>
      <c r="E57" s="15"/>
      <c r="F57" s="16"/>
      <c r="G57" s="75"/>
    </row>
    <row r="58" spans="1:7" x14ac:dyDescent="0.25">
      <c r="A58" s="74"/>
      <c r="B58" s="31"/>
      <c r="C58" s="31"/>
      <c r="D58" s="14"/>
      <c r="E58" s="15"/>
      <c r="F58" s="16"/>
      <c r="G58" s="75"/>
    </row>
    <row r="59" spans="1:7" x14ac:dyDescent="0.25">
      <c r="A59" s="76" t="s">
        <v>110</v>
      </c>
      <c r="B59" s="31"/>
      <c r="C59" s="31"/>
      <c r="D59" s="14"/>
      <c r="E59" s="15"/>
      <c r="F59" s="16"/>
      <c r="G59" s="75"/>
    </row>
    <row r="60" spans="1:7" x14ac:dyDescent="0.25">
      <c r="A60" s="74" t="s">
        <v>111</v>
      </c>
      <c r="B60" s="31"/>
      <c r="C60" s="31"/>
      <c r="D60" s="14"/>
      <c r="E60" s="15">
        <v>8</v>
      </c>
      <c r="F60" s="16">
        <v>1.0800000000000001E-2</v>
      </c>
      <c r="G60" s="75">
        <v>3.5790000000000002E-2</v>
      </c>
    </row>
    <row r="61" spans="1:7" x14ac:dyDescent="0.25">
      <c r="A61" s="76" t="s">
        <v>90</v>
      </c>
      <c r="B61" s="32"/>
      <c r="C61" s="32"/>
      <c r="D61" s="18"/>
      <c r="E61" s="35">
        <v>8</v>
      </c>
      <c r="F61" s="36">
        <v>1.0800000000000001E-2</v>
      </c>
      <c r="G61" s="77"/>
    </row>
    <row r="62" spans="1:7" x14ac:dyDescent="0.25">
      <c r="A62" s="74"/>
      <c r="B62" s="31"/>
      <c r="C62" s="31"/>
      <c r="D62" s="14"/>
      <c r="E62" s="15"/>
      <c r="F62" s="16"/>
      <c r="G62" s="75"/>
    </row>
    <row r="63" spans="1:7" x14ac:dyDescent="0.25">
      <c r="A63" s="78" t="s">
        <v>93</v>
      </c>
      <c r="B63" s="79"/>
      <c r="C63" s="79"/>
      <c r="D63" s="80"/>
      <c r="E63" s="35">
        <v>8</v>
      </c>
      <c r="F63" s="36">
        <v>1.0800000000000001E-2</v>
      </c>
      <c r="G63" s="77"/>
    </row>
    <row r="64" spans="1:7" x14ac:dyDescent="0.25">
      <c r="A64" s="74" t="s">
        <v>112</v>
      </c>
      <c r="B64" s="31"/>
      <c r="C64" s="31"/>
      <c r="D64" s="14"/>
      <c r="E64" s="15">
        <v>1.1051399999999999E-2</v>
      </c>
      <c r="F64" s="53" t="s">
        <v>2022</v>
      </c>
      <c r="G64" s="75"/>
    </row>
    <row r="65" spans="1:7" x14ac:dyDescent="0.25">
      <c r="A65" s="74" t="s">
        <v>113</v>
      </c>
      <c r="B65" s="31"/>
      <c r="C65" s="31"/>
      <c r="D65" s="14"/>
      <c r="E65" s="24">
        <v>-4.2810514</v>
      </c>
      <c r="F65" s="25">
        <v>-5.5139999999999998E-3</v>
      </c>
      <c r="G65" s="75">
        <v>3.5790000000000002E-2</v>
      </c>
    </row>
    <row r="66" spans="1:7" x14ac:dyDescent="0.25">
      <c r="A66" s="81" t="s">
        <v>114</v>
      </c>
      <c r="B66" s="34"/>
      <c r="C66" s="34"/>
      <c r="D66" s="27"/>
      <c r="E66" s="28">
        <v>741.24</v>
      </c>
      <c r="F66" s="29">
        <v>1</v>
      </c>
      <c r="G66" s="82"/>
    </row>
    <row r="67" spans="1:7" x14ac:dyDescent="0.25">
      <c r="A67" s="54"/>
      <c r="B67" s="56"/>
      <c r="C67" s="56"/>
      <c r="D67" s="56"/>
      <c r="E67" s="56"/>
      <c r="F67" s="56"/>
      <c r="G67" s="66"/>
    </row>
    <row r="68" spans="1:7" x14ac:dyDescent="0.25">
      <c r="A68" s="83" t="s">
        <v>116</v>
      </c>
      <c r="B68" s="56"/>
      <c r="C68" s="56"/>
      <c r="D68" s="56"/>
      <c r="E68" s="56"/>
      <c r="F68" s="56"/>
      <c r="G68" s="66"/>
    </row>
    <row r="69" spans="1:7" x14ac:dyDescent="0.25">
      <c r="A69" s="83" t="s">
        <v>2023</v>
      </c>
      <c r="B69" s="56"/>
      <c r="C69" s="56"/>
      <c r="D69" s="56"/>
      <c r="E69" s="56"/>
      <c r="F69" s="56"/>
      <c r="G69" s="66"/>
    </row>
    <row r="70" spans="1:7" x14ac:dyDescent="0.25">
      <c r="A70" s="54"/>
      <c r="B70" s="56"/>
      <c r="C70" s="56"/>
      <c r="D70" s="56"/>
      <c r="E70" s="56"/>
      <c r="F70" s="56"/>
      <c r="G70" s="66"/>
    </row>
    <row r="71" spans="1:7" x14ac:dyDescent="0.25">
      <c r="A71" s="83" t="s">
        <v>1476</v>
      </c>
      <c r="B71" s="56"/>
      <c r="C71" s="56"/>
      <c r="D71" s="56"/>
      <c r="E71" s="56"/>
      <c r="F71" s="56"/>
      <c r="G71" s="66"/>
    </row>
    <row r="72" spans="1:7" x14ac:dyDescent="0.25">
      <c r="A72" s="84" t="s">
        <v>1477</v>
      </c>
      <c r="B72" s="85" t="s">
        <v>85</v>
      </c>
      <c r="C72" s="56"/>
      <c r="D72" s="56"/>
      <c r="E72" s="56"/>
      <c r="F72" s="56"/>
      <c r="G72" s="66"/>
    </row>
    <row r="73" spans="1:7" x14ac:dyDescent="0.25">
      <c r="A73" s="54" t="s">
        <v>1626</v>
      </c>
      <c r="B73" s="56"/>
      <c r="C73" s="56"/>
      <c r="D73" s="56"/>
      <c r="E73" s="56"/>
      <c r="F73" s="56"/>
      <c r="G73" s="66"/>
    </row>
    <row r="74" spans="1:7" x14ac:dyDescent="0.25">
      <c r="A74" s="54" t="s">
        <v>1478</v>
      </c>
      <c r="B74" s="85" t="s">
        <v>1479</v>
      </c>
      <c r="C74" s="85" t="s">
        <v>1479</v>
      </c>
      <c r="D74" s="56"/>
      <c r="E74" s="56"/>
      <c r="F74" s="56"/>
      <c r="G74" s="66"/>
    </row>
    <row r="75" spans="1:7" x14ac:dyDescent="0.25">
      <c r="A75" s="54"/>
      <c r="B75" s="86">
        <v>44469</v>
      </c>
      <c r="C75" s="86">
        <v>44651</v>
      </c>
      <c r="D75" s="56"/>
      <c r="E75" s="56"/>
      <c r="F75" s="56"/>
      <c r="G75" s="66"/>
    </row>
    <row r="76" spans="1:7" x14ac:dyDescent="0.25">
      <c r="A76" s="54" t="s">
        <v>1483</v>
      </c>
      <c r="B76" s="85" t="s">
        <v>2013</v>
      </c>
      <c r="C76" s="56">
        <v>9.4385999999999992</v>
      </c>
      <c r="D76" s="56"/>
      <c r="E76" s="59"/>
      <c r="F76" s="56"/>
      <c r="G76" s="87"/>
    </row>
    <row r="77" spans="1:7" x14ac:dyDescent="0.25">
      <c r="A77" s="54" t="s">
        <v>1484</v>
      </c>
      <c r="B77" s="85" t="s">
        <v>2013</v>
      </c>
      <c r="C77" s="56">
        <v>9.3065999999999995</v>
      </c>
      <c r="D77" s="56"/>
      <c r="E77" s="59"/>
      <c r="F77" s="56"/>
      <c r="G77" s="87"/>
    </row>
    <row r="78" spans="1:7" x14ac:dyDescent="0.25">
      <c r="A78" s="54" t="s">
        <v>1503</v>
      </c>
      <c r="B78" s="85" t="s">
        <v>2013</v>
      </c>
      <c r="C78" s="56">
        <v>9.4098000000000006</v>
      </c>
      <c r="D78" s="56"/>
      <c r="E78" s="59"/>
      <c r="F78" s="56"/>
      <c r="G78" s="87"/>
    </row>
    <row r="79" spans="1:7" x14ac:dyDescent="0.25">
      <c r="A79" s="54" t="s">
        <v>1504</v>
      </c>
      <c r="B79" s="85" t="s">
        <v>2013</v>
      </c>
      <c r="C79" s="56">
        <v>9.4094999999999995</v>
      </c>
      <c r="D79" s="56"/>
      <c r="E79" s="59"/>
      <c r="F79" s="56"/>
      <c r="G79" s="87"/>
    </row>
    <row r="80" spans="1:7" x14ac:dyDescent="0.25">
      <c r="A80" s="54" t="s">
        <v>2014</v>
      </c>
      <c r="B80" s="85"/>
      <c r="C80" s="56"/>
      <c r="D80" s="56"/>
      <c r="E80" s="59"/>
      <c r="F80" s="56"/>
      <c r="G80" s="87"/>
    </row>
    <row r="81" spans="1:7" x14ac:dyDescent="0.25">
      <c r="A81" s="54"/>
      <c r="B81" s="56"/>
      <c r="C81" s="56"/>
      <c r="D81" s="56"/>
      <c r="E81" s="59"/>
      <c r="F81" s="56"/>
      <c r="G81" s="87"/>
    </row>
    <row r="82" spans="1:7" x14ac:dyDescent="0.25">
      <c r="A82" s="54" t="s">
        <v>2006</v>
      </c>
      <c r="B82" s="85" t="s">
        <v>85</v>
      </c>
      <c r="C82" s="56"/>
      <c r="D82" s="56"/>
      <c r="E82" s="56"/>
      <c r="F82" s="56"/>
      <c r="G82" s="66"/>
    </row>
    <row r="83" spans="1:7" x14ac:dyDescent="0.25">
      <c r="A83" s="54" t="s">
        <v>2008</v>
      </c>
      <c r="B83" s="85" t="s">
        <v>85</v>
      </c>
      <c r="C83" s="56"/>
      <c r="D83" s="56"/>
      <c r="E83" s="56"/>
      <c r="F83" s="56"/>
      <c r="G83" s="66"/>
    </row>
    <row r="84" spans="1:7" ht="17.25" customHeight="1" x14ac:dyDescent="0.25">
      <c r="A84" s="84" t="s">
        <v>2009</v>
      </c>
      <c r="B84" s="85" t="s">
        <v>85</v>
      </c>
      <c r="C84" s="56"/>
      <c r="D84" s="56"/>
      <c r="E84" s="56"/>
      <c r="F84" s="56"/>
      <c r="G84" s="66"/>
    </row>
    <row r="85" spans="1:7" x14ac:dyDescent="0.25">
      <c r="A85" s="84" t="s">
        <v>2010</v>
      </c>
      <c r="B85" s="85" t="s">
        <v>85</v>
      </c>
      <c r="C85" s="56"/>
      <c r="D85" s="56"/>
      <c r="E85" s="56"/>
      <c r="F85" s="56"/>
      <c r="G85" s="66"/>
    </row>
    <row r="86" spans="1:7" x14ac:dyDescent="0.25">
      <c r="A86" s="54" t="s">
        <v>1529</v>
      </c>
      <c r="B86" s="85" t="s">
        <v>85</v>
      </c>
      <c r="C86" s="56"/>
      <c r="D86" s="56"/>
      <c r="E86" s="56"/>
      <c r="F86" s="56"/>
      <c r="G86" s="66"/>
    </row>
    <row r="87" spans="1:7" ht="30" x14ac:dyDescent="0.25">
      <c r="A87" s="84" t="s">
        <v>2011</v>
      </c>
      <c r="B87" s="85" t="s">
        <v>85</v>
      </c>
      <c r="C87" s="56"/>
      <c r="D87" s="56"/>
      <c r="E87" s="56"/>
      <c r="F87" s="56"/>
      <c r="G87" s="66"/>
    </row>
    <row r="88" spans="1:7" ht="30" x14ac:dyDescent="0.25">
      <c r="A88" s="84" t="s">
        <v>1495</v>
      </c>
      <c r="B88" s="85" t="s">
        <v>85</v>
      </c>
      <c r="C88" s="56"/>
      <c r="D88" s="56"/>
      <c r="E88" s="56"/>
      <c r="F88" s="56"/>
      <c r="G88" s="66"/>
    </row>
    <row r="89" spans="1:7" x14ac:dyDescent="0.25">
      <c r="A89" s="54" t="s">
        <v>1607</v>
      </c>
      <c r="B89" s="85" t="s">
        <v>85</v>
      </c>
      <c r="C89" s="56"/>
      <c r="D89" s="56"/>
      <c r="E89" s="56"/>
      <c r="F89" s="56"/>
      <c r="G89" s="66"/>
    </row>
    <row r="90" spans="1:7" x14ac:dyDescent="0.25">
      <c r="A90" s="54" t="s">
        <v>1608</v>
      </c>
      <c r="B90" s="85" t="s">
        <v>85</v>
      </c>
      <c r="C90" s="56"/>
      <c r="D90" s="56"/>
      <c r="E90" s="56"/>
      <c r="F90" s="56"/>
      <c r="G90" s="66"/>
    </row>
    <row r="91" spans="1:7" ht="15.75" thickBot="1" x14ac:dyDescent="0.3">
      <c r="A91" s="89"/>
      <c r="B91" s="90"/>
      <c r="C91" s="90"/>
      <c r="D91" s="90"/>
      <c r="E91" s="90"/>
      <c r="F91" s="90"/>
      <c r="G91" s="91"/>
    </row>
    <row r="93" spans="1:7" ht="30" x14ac:dyDescent="0.25">
      <c r="A93" s="107" t="s">
        <v>2042</v>
      </c>
      <c r="B93" s="108" t="s">
        <v>2043</v>
      </c>
      <c r="C93" s="108" t="s">
        <v>2044</v>
      </c>
      <c r="D93" s="109" t="s">
        <v>2045</v>
      </c>
    </row>
    <row r="94" spans="1:7" ht="40.5" customHeight="1" x14ac:dyDescent="0.25">
      <c r="A94" s="110" t="str">
        <f>HYPERLINK("[EDEL_Portfolio Monthly 31-Mar-2022.xlsx]EEIF30!A1","Edelweiss Nifty 100 Quality 30 Index Fnd")</f>
        <v>Edelweiss Nifty 100 Quality 30 Index Fnd</v>
      </c>
      <c r="B94" s="111"/>
      <c r="C94" s="111" t="s">
        <v>2066</v>
      </c>
      <c r="D94" s="111"/>
    </row>
  </sheetData>
  <mergeCells count="2">
    <mergeCell ref="A3:G3"/>
    <mergeCell ref="A4:G4"/>
  </mergeCells>
  <pageMargins left="0.7" right="0.7" top="0.75" bottom="0.75" header="0.3" footer="0.3"/>
  <pageSetup orientation="portrait" horizontalDpi="300" verticalDpi="300"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17"/>
  <sheetViews>
    <sheetView showGridLines="0" topLeftCell="B1" workbookViewId="0">
      <pane ySplit="6" topLeftCell="A1048562"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32.140625" bestFit="1" customWidth="1"/>
    <col min="4" max="4" width="21.285156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54</v>
      </c>
      <c r="B3" s="139"/>
      <c r="C3" s="139"/>
      <c r="D3" s="139"/>
      <c r="E3" s="139"/>
      <c r="F3" s="139"/>
      <c r="G3" s="140"/>
      <c r="H3" s="46" t="str">
        <f>HYPERLINK("[EDEL_Portfolio HY 31032022.xlsx]Index!A1","Index")</f>
        <v>Index</v>
      </c>
    </row>
    <row r="4" spans="1:8" ht="19.5" customHeight="1" x14ac:dyDescent="0.25">
      <c r="A4" s="141" t="s">
        <v>55</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6" t="s">
        <v>84</v>
      </c>
      <c r="B8" s="31"/>
      <c r="C8" s="31"/>
      <c r="D8" s="14"/>
      <c r="E8" s="15"/>
      <c r="F8" s="16"/>
      <c r="G8" s="75"/>
    </row>
    <row r="9" spans="1:8" x14ac:dyDescent="0.25">
      <c r="A9" s="76" t="s">
        <v>435</v>
      </c>
      <c r="B9" s="31"/>
      <c r="C9" s="31"/>
      <c r="D9" s="14"/>
      <c r="E9" s="15"/>
      <c r="F9" s="16"/>
      <c r="G9" s="75"/>
    </row>
    <row r="10" spans="1:8" x14ac:dyDescent="0.25">
      <c r="A10" s="74" t="s">
        <v>438</v>
      </c>
      <c r="B10" s="31" t="s">
        <v>439</v>
      </c>
      <c r="C10" s="31" t="s">
        <v>440</v>
      </c>
      <c r="D10" s="14">
        <v>2006</v>
      </c>
      <c r="E10" s="15">
        <v>52.85</v>
      </c>
      <c r="F10" s="16">
        <v>0.1183</v>
      </c>
      <c r="G10" s="75"/>
    </row>
    <row r="11" spans="1:8" x14ac:dyDescent="0.25">
      <c r="A11" s="74" t="s">
        <v>472</v>
      </c>
      <c r="B11" s="31" t="s">
        <v>473</v>
      </c>
      <c r="C11" s="31" t="s">
        <v>2027</v>
      </c>
      <c r="D11" s="14">
        <v>2128</v>
      </c>
      <c r="E11" s="15">
        <v>40.58</v>
      </c>
      <c r="F11" s="16">
        <v>9.0800000000000006E-2</v>
      </c>
      <c r="G11" s="75"/>
    </row>
    <row r="12" spans="1:8" x14ac:dyDescent="0.25">
      <c r="A12" s="74" t="s">
        <v>549</v>
      </c>
      <c r="B12" s="31" t="s">
        <v>550</v>
      </c>
      <c r="C12" s="31" t="s">
        <v>465</v>
      </c>
      <c r="D12" s="14">
        <v>2547</v>
      </c>
      <c r="E12" s="15">
        <v>37.450000000000003</v>
      </c>
      <c r="F12" s="16">
        <v>8.3799999999999999E-2</v>
      </c>
      <c r="G12" s="75"/>
    </row>
    <row r="13" spans="1:8" x14ac:dyDescent="0.25">
      <c r="A13" s="74" t="s">
        <v>622</v>
      </c>
      <c r="B13" s="31" t="s">
        <v>623</v>
      </c>
      <c r="C13" s="31" t="s">
        <v>465</v>
      </c>
      <c r="D13" s="14">
        <v>4041</v>
      </c>
      <c r="E13" s="15">
        <v>29.51</v>
      </c>
      <c r="F13" s="16">
        <v>6.6100000000000006E-2</v>
      </c>
      <c r="G13" s="75"/>
    </row>
    <row r="14" spans="1:8" x14ac:dyDescent="0.25">
      <c r="A14" s="74" t="s">
        <v>448</v>
      </c>
      <c r="B14" s="31" t="s">
        <v>449</v>
      </c>
      <c r="C14" s="31" t="s">
        <v>450</v>
      </c>
      <c r="D14" s="14">
        <v>1052</v>
      </c>
      <c r="E14" s="15">
        <v>25.15</v>
      </c>
      <c r="F14" s="16">
        <v>5.6300000000000003E-2</v>
      </c>
      <c r="G14" s="75"/>
    </row>
    <row r="15" spans="1:8" x14ac:dyDescent="0.25">
      <c r="A15" s="74" t="s">
        <v>584</v>
      </c>
      <c r="B15" s="31" t="s">
        <v>585</v>
      </c>
      <c r="C15" s="31" t="s">
        <v>2027</v>
      </c>
      <c r="D15" s="14">
        <v>602</v>
      </c>
      <c r="E15" s="15">
        <v>22.51</v>
      </c>
      <c r="F15" s="16">
        <v>5.04E-2</v>
      </c>
      <c r="G15" s="75"/>
    </row>
    <row r="16" spans="1:8" x14ac:dyDescent="0.25">
      <c r="A16" s="74" t="s">
        <v>463</v>
      </c>
      <c r="B16" s="31" t="s">
        <v>464</v>
      </c>
      <c r="C16" s="31" t="s">
        <v>465</v>
      </c>
      <c r="D16" s="14">
        <v>854</v>
      </c>
      <c r="E16" s="15">
        <v>14.98</v>
      </c>
      <c r="F16" s="16">
        <v>3.3500000000000002E-2</v>
      </c>
      <c r="G16" s="75"/>
    </row>
    <row r="17" spans="1:7" x14ac:dyDescent="0.25">
      <c r="A17" s="74" t="s">
        <v>504</v>
      </c>
      <c r="B17" s="31" t="s">
        <v>505</v>
      </c>
      <c r="C17" s="31" t="s">
        <v>2028</v>
      </c>
      <c r="D17" s="14">
        <v>5088</v>
      </c>
      <c r="E17" s="15">
        <v>12.75</v>
      </c>
      <c r="F17" s="16">
        <v>2.86E-2</v>
      </c>
      <c r="G17" s="75"/>
    </row>
    <row r="18" spans="1:7" x14ac:dyDescent="0.25">
      <c r="A18" s="74" t="s">
        <v>492</v>
      </c>
      <c r="B18" s="31" t="s">
        <v>493</v>
      </c>
      <c r="C18" s="31" t="s">
        <v>2029</v>
      </c>
      <c r="D18" s="14">
        <v>702</v>
      </c>
      <c r="E18" s="15">
        <v>12.41</v>
      </c>
      <c r="F18" s="16">
        <v>2.7799999999999998E-2</v>
      </c>
      <c r="G18" s="75"/>
    </row>
    <row r="19" spans="1:7" x14ac:dyDescent="0.25">
      <c r="A19" s="74" t="s">
        <v>481</v>
      </c>
      <c r="B19" s="31" t="s">
        <v>482</v>
      </c>
      <c r="C19" s="31" t="s">
        <v>465</v>
      </c>
      <c r="D19" s="14">
        <v>1535</v>
      </c>
      <c r="E19" s="15">
        <v>11.68</v>
      </c>
      <c r="F19" s="16">
        <v>2.6200000000000001E-2</v>
      </c>
      <c r="G19" s="75"/>
    </row>
    <row r="20" spans="1:7" x14ac:dyDescent="0.25">
      <c r="A20" s="74" t="s">
        <v>490</v>
      </c>
      <c r="B20" s="31" t="s">
        <v>491</v>
      </c>
      <c r="C20" s="31" t="s">
        <v>450</v>
      </c>
      <c r="D20" s="14">
        <v>154</v>
      </c>
      <c r="E20" s="15">
        <v>11.18</v>
      </c>
      <c r="F20" s="16">
        <v>2.5000000000000001E-2</v>
      </c>
      <c r="G20" s="75"/>
    </row>
    <row r="21" spans="1:7" x14ac:dyDescent="0.25">
      <c r="A21" s="74" t="s">
        <v>537</v>
      </c>
      <c r="B21" s="31" t="s">
        <v>538</v>
      </c>
      <c r="C21" s="31" t="s">
        <v>465</v>
      </c>
      <c r="D21" s="14">
        <v>2231</v>
      </c>
      <c r="E21" s="15">
        <v>11.01</v>
      </c>
      <c r="F21" s="16">
        <v>2.47E-2</v>
      </c>
      <c r="G21" s="75"/>
    </row>
    <row r="22" spans="1:7" x14ac:dyDescent="0.25">
      <c r="A22" s="74" t="s">
        <v>483</v>
      </c>
      <c r="B22" s="31" t="s">
        <v>484</v>
      </c>
      <c r="C22" s="31" t="s">
        <v>2028</v>
      </c>
      <c r="D22" s="14">
        <v>519</v>
      </c>
      <c r="E22" s="15">
        <v>10.63</v>
      </c>
      <c r="F22" s="16">
        <v>2.3800000000000002E-2</v>
      </c>
      <c r="G22" s="75"/>
    </row>
    <row r="23" spans="1:7" x14ac:dyDescent="0.25">
      <c r="A23" s="74" t="s">
        <v>441</v>
      </c>
      <c r="B23" s="31" t="s">
        <v>442</v>
      </c>
      <c r="C23" s="31" t="s">
        <v>443</v>
      </c>
      <c r="D23" s="14">
        <v>1373</v>
      </c>
      <c r="E23" s="15">
        <v>10.37</v>
      </c>
      <c r="F23" s="16">
        <v>2.3199999999999998E-2</v>
      </c>
      <c r="G23" s="75"/>
    </row>
    <row r="24" spans="1:7" x14ac:dyDescent="0.25">
      <c r="A24" s="74" t="s">
        <v>803</v>
      </c>
      <c r="B24" s="31" t="s">
        <v>804</v>
      </c>
      <c r="C24" s="31" t="s">
        <v>2028</v>
      </c>
      <c r="D24" s="14">
        <v>262</v>
      </c>
      <c r="E24" s="15">
        <v>8.07</v>
      </c>
      <c r="F24" s="16">
        <v>1.8100000000000002E-2</v>
      </c>
      <c r="G24" s="75"/>
    </row>
    <row r="25" spans="1:7" x14ac:dyDescent="0.25">
      <c r="A25" s="74" t="s">
        <v>510</v>
      </c>
      <c r="B25" s="31" t="s">
        <v>511</v>
      </c>
      <c r="C25" s="31" t="s">
        <v>2027</v>
      </c>
      <c r="D25" s="14">
        <v>616</v>
      </c>
      <c r="E25" s="15">
        <v>7.17</v>
      </c>
      <c r="F25" s="16">
        <v>1.6E-2</v>
      </c>
      <c r="G25" s="75"/>
    </row>
    <row r="26" spans="1:7" x14ac:dyDescent="0.25">
      <c r="A26" s="74" t="s">
        <v>716</v>
      </c>
      <c r="B26" s="31" t="s">
        <v>717</v>
      </c>
      <c r="C26" s="31" t="s">
        <v>615</v>
      </c>
      <c r="D26" s="14">
        <v>242</v>
      </c>
      <c r="E26" s="15">
        <v>6.14</v>
      </c>
      <c r="F26" s="16">
        <v>1.37E-2</v>
      </c>
      <c r="G26" s="75"/>
    </row>
    <row r="27" spans="1:7" x14ac:dyDescent="0.25">
      <c r="A27" s="74" t="s">
        <v>470</v>
      </c>
      <c r="B27" s="31" t="s">
        <v>471</v>
      </c>
      <c r="C27" s="31" t="s">
        <v>456</v>
      </c>
      <c r="D27" s="14">
        <v>469</v>
      </c>
      <c r="E27" s="15">
        <v>6.13</v>
      </c>
      <c r="F27" s="16">
        <v>1.37E-2</v>
      </c>
      <c r="G27" s="75"/>
    </row>
    <row r="28" spans="1:7" x14ac:dyDescent="0.25">
      <c r="A28" s="74" t="s">
        <v>735</v>
      </c>
      <c r="B28" s="31" t="s">
        <v>736</v>
      </c>
      <c r="C28" s="31" t="s">
        <v>487</v>
      </c>
      <c r="D28" s="14">
        <v>35</v>
      </c>
      <c r="E28" s="15">
        <v>5.97</v>
      </c>
      <c r="F28" s="16">
        <v>1.34E-2</v>
      </c>
      <c r="G28" s="75"/>
    </row>
    <row r="29" spans="1:7" x14ac:dyDescent="0.25">
      <c r="A29" s="74" t="s">
        <v>582</v>
      </c>
      <c r="B29" s="31" t="s">
        <v>583</v>
      </c>
      <c r="C29" s="31" t="s">
        <v>2032</v>
      </c>
      <c r="D29" s="14">
        <v>77</v>
      </c>
      <c r="E29" s="15">
        <v>5.82</v>
      </c>
      <c r="F29" s="16">
        <v>1.2999999999999999E-2</v>
      </c>
      <c r="G29" s="75"/>
    </row>
    <row r="30" spans="1:7" x14ac:dyDescent="0.25">
      <c r="A30" s="74" t="s">
        <v>724</v>
      </c>
      <c r="B30" s="31" t="s">
        <v>725</v>
      </c>
      <c r="C30" s="31" t="s">
        <v>1429</v>
      </c>
      <c r="D30" s="14">
        <v>627</v>
      </c>
      <c r="E30" s="15">
        <v>5.74</v>
      </c>
      <c r="F30" s="16">
        <v>1.2800000000000001E-2</v>
      </c>
      <c r="G30" s="75"/>
    </row>
    <row r="31" spans="1:7" x14ac:dyDescent="0.25">
      <c r="A31" s="74" t="s">
        <v>653</v>
      </c>
      <c r="B31" s="31" t="s">
        <v>654</v>
      </c>
      <c r="C31" s="31" t="s">
        <v>2027</v>
      </c>
      <c r="D31" s="14">
        <v>361</v>
      </c>
      <c r="E31" s="15">
        <v>5.41</v>
      </c>
      <c r="F31" s="16">
        <v>1.21E-2</v>
      </c>
      <c r="G31" s="75"/>
    </row>
    <row r="32" spans="1:7" x14ac:dyDescent="0.25">
      <c r="A32" s="74" t="s">
        <v>1101</v>
      </c>
      <c r="B32" s="31" t="s">
        <v>1102</v>
      </c>
      <c r="C32" s="31" t="s">
        <v>2027</v>
      </c>
      <c r="D32" s="14">
        <v>860</v>
      </c>
      <c r="E32" s="15">
        <v>5.09</v>
      </c>
      <c r="F32" s="16">
        <v>1.14E-2</v>
      </c>
      <c r="G32" s="75"/>
    </row>
    <row r="33" spans="1:7" x14ac:dyDescent="0.25">
      <c r="A33" s="74" t="s">
        <v>508</v>
      </c>
      <c r="B33" s="31" t="s">
        <v>509</v>
      </c>
      <c r="C33" s="31" t="s">
        <v>462</v>
      </c>
      <c r="D33" s="14">
        <v>849</v>
      </c>
      <c r="E33" s="15">
        <v>4.84</v>
      </c>
      <c r="F33" s="16">
        <v>1.0800000000000001E-2</v>
      </c>
      <c r="G33" s="75"/>
    </row>
    <row r="34" spans="1:7" x14ac:dyDescent="0.25">
      <c r="A34" s="74" t="s">
        <v>702</v>
      </c>
      <c r="B34" s="31" t="s">
        <v>703</v>
      </c>
      <c r="C34" s="31" t="s">
        <v>2032</v>
      </c>
      <c r="D34" s="14">
        <v>1042</v>
      </c>
      <c r="E34" s="15">
        <v>4.5199999999999996</v>
      </c>
      <c r="F34" s="16">
        <v>1.01E-2</v>
      </c>
      <c r="G34" s="75"/>
    </row>
    <row r="35" spans="1:7" x14ac:dyDescent="0.25">
      <c r="A35" s="74" t="s">
        <v>741</v>
      </c>
      <c r="B35" s="31" t="s">
        <v>742</v>
      </c>
      <c r="C35" s="31" t="s">
        <v>2032</v>
      </c>
      <c r="D35" s="14">
        <v>556</v>
      </c>
      <c r="E35" s="15">
        <v>4.4800000000000004</v>
      </c>
      <c r="F35" s="16">
        <v>0.01</v>
      </c>
      <c r="G35" s="75"/>
    </row>
    <row r="36" spans="1:7" x14ac:dyDescent="0.25">
      <c r="A36" s="74" t="s">
        <v>657</v>
      </c>
      <c r="B36" s="31" t="s">
        <v>658</v>
      </c>
      <c r="C36" s="31" t="s">
        <v>480</v>
      </c>
      <c r="D36" s="14">
        <v>67</v>
      </c>
      <c r="E36" s="15">
        <v>4.42</v>
      </c>
      <c r="F36" s="16">
        <v>9.9000000000000008E-3</v>
      </c>
      <c r="G36" s="75"/>
    </row>
    <row r="37" spans="1:7" x14ac:dyDescent="0.25">
      <c r="A37" s="74" t="s">
        <v>708</v>
      </c>
      <c r="B37" s="31" t="s">
        <v>709</v>
      </c>
      <c r="C37" s="31" t="s">
        <v>459</v>
      </c>
      <c r="D37" s="14">
        <v>1987</v>
      </c>
      <c r="E37" s="15">
        <v>4.3099999999999996</v>
      </c>
      <c r="F37" s="16">
        <v>9.5999999999999992E-3</v>
      </c>
      <c r="G37" s="75"/>
    </row>
    <row r="38" spans="1:7" x14ac:dyDescent="0.25">
      <c r="A38" s="74" t="s">
        <v>747</v>
      </c>
      <c r="B38" s="31" t="s">
        <v>748</v>
      </c>
      <c r="C38" s="31" t="s">
        <v>456</v>
      </c>
      <c r="D38" s="14">
        <v>562</v>
      </c>
      <c r="E38" s="15">
        <v>4.12</v>
      </c>
      <c r="F38" s="16">
        <v>9.1999999999999998E-3</v>
      </c>
      <c r="G38" s="75"/>
    </row>
    <row r="39" spans="1:7" x14ac:dyDescent="0.25">
      <c r="A39" s="74" t="s">
        <v>629</v>
      </c>
      <c r="B39" s="31" t="s">
        <v>630</v>
      </c>
      <c r="C39" s="31" t="s">
        <v>459</v>
      </c>
      <c r="D39" s="14">
        <v>2763</v>
      </c>
      <c r="E39" s="15">
        <v>3.73</v>
      </c>
      <c r="F39" s="16">
        <v>8.3999999999999995E-3</v>
      </c>
      <c r="G39" s="75"/>
    </row>
    <row r="40" spans="1:7" x14ac:dyDescent="0.25">
      <c r="A40" s="74" t="s">
        <v>478</v>
      </c>
      <c r="B40" s="31" t="s">
        <v>479</v>
      </c>
      <c r="C40" s="31" t="s">
        <v>480</v>
      </c>
      <c r="D40" s="14">
        <v>218</v>
      </c>
      <c r="E40" s="15">
        <v>3.63</v>
      </c>
      <c r="F40" s="16">
        <v>8.0999999999999996E-3</v>
      </c>
      <c r="G40" s="75"/>
    </row>
    <row r="41" spans="1:7" x14ac:dyDescent="0.25">
      <c r="A41" s="74" t="s">
        <v>468</v>
      </c>
      <c r="B41" s="31" t="s">
        <v>469</v>
      </c>
      <c r="C41" s="31" t="s">
        <v>465</v>
      </c>
      <c r="D41" s="14">
        <v>378</v>
      </c>
      <c r="E41" s="15">
        <v>3.54</v>
      </c>
      <c r="F41" s="16">
        <v>7.9000000000000008E-3</v>
      </c>
      <c r="G41" s="75"/>
    </row>
    <row r="42" spans="1:7" x14ac:dyDescent="0.25">
      <c r="A42" s="74" t="s">
        <v>726</v>
      </c>
      <c r="B42" s="31" t="s">
        <v>727</v>
      </c>
      <c r="C42" s="31" t="s">
        <v>728</v>
      </c>
      <c r="D42" s="14">
        <v>2121</v>
      </c>
      <c r="E42" s="15">
        <v>3.48</v>
      </c>
      <c r="F42" s="16">
        <v>7.7999999999999996E-3</v>
      </c>
      <c r="G42" s="75"/>
    </row>
    <row r="43" spans="1:7" x14ac:dyDescent="0.25">
      <c r="A43" s="74" t="s">
        <v>563</v>
      </c>
      <c r="B43" s="31" t="s">
        <v>564</v>
      </c>
      <c r="C43" s="31" t="s">
        <v>2028</v>
      </c>
      <c r="D43" s="14">
        <v>20</v>
      </c>
      <c r="E43" s="15">
        <v>3.48</v>
      </c>
      <c r="F43" s="16">
        <v>7.7999999999999996E-3</v>
      </c>
      <c r="G43" s="75"/>
    </row>
    <row r="44" spans="1:7" x14ac:dyDescent="0.25">
      <c r="A44" s="74" t="s">
        <v>777</v>
      </c>
      <c r="B44" s="31" t="s">
        <v>778</v>
      </c>
      <c r="C44" s="31" t="s">
        <v>1429</v>
      </c>
      <c r="D44" s="14">
        <v>74</v>
      </c>
      <c r="E44" s="15">
        <v>3.26</v>
      </c>
      <c r="F44" s="16">
        <v>7.3000000000000001E-3</v>
      </c>
      <c r="G44" s="75"/>
    </row>
    <row r="45" spans="1:7" x14ac:dyDescent="0.25">
      <c r="A45" s="74" t="s">
        <v>436</v>
      </c>
      <c r="B45" s="31" t="s">
        <v>437</v>
      </c>
      <c r="C45" s="31" t="s">
        <v>2024</v>
      </c>
      <c r="D45" s="14">
        <v>418</v>
      </c>
      <c r="E45" s="15">
        <v>3.24</v>
      </c>
      <c r="F45" s="16">
        <v>7.1999999999999998E-3</v>
      </c>
      <c r="G45" s="75"/>
    </row>
    <row r="46" spans="1:7" x14ac:dyDescent="0.25">
      <c r="A46" s="74" t="s">
        <v>553</v>
      </c>
      <c r="B46" s="31" t="s">
        <v>554</v>
      </c>
      <c r="C46" s="31" t="s">
        <v>1429</v>
      </c>
      <c r="D46" s="14">
        <v>300</v>
      </c>
      <c r="E46" s="15">
        <v>3.05</v>
      </c>
      <c r="F46" s="16">
        <v>6.7999999999999996E-3</v>
      </c>
      <c r="G46" s="75"/>
    </row>
    <row r="47" spans="1:7" x14ac:dyDescent="0.25">
      <c r="A47" s="74" t="s">
        <v>690</v>
      </c>
      <c r="B47" s="31" t="s">
        <v>691</v>
      </c>
      <c r="C47" s="31" t="s">
        <v>1429</v>
      </c>
      <c r="D47" s="14">
        <v>70</v>
      </c>
      <c r="E47" s="15">
        <v>3.01</v>
      </c>
      <c r="F47" s="16">
        <v>6.7000000000000002E-3</v>
      </c>
      <c r="G47" s="75"/>
    </row>
    <row r="48" spans="1:7" x14ac:dyDescent="0.25">
      <c r="A48" s="74" t="s">
        <v>485</v>
      </c>
      <c r="B48" s="31" t="s">
        <v>486</v>
      </c>
      <c r="C48" s="31" t="s">
        <v>487</v>
      </c>
      <c r="D48" s="14">
        <v>540</v>
      </c>
      <c r="E48" s="15">
        <v>2.91</v>
      </c>
      <c r="F48" s="16">
        <v>6.4999999999999997E-3</v>
      </c>
      <c r="G48" s="75"/>
    </row>
    <row r="49" spans="1:7" x14ac:dyDescent="0.25">
      <c r="A49" s="74" t="s">
        <v>561</v>
      </c>
      <c r="B49" s="31" t="s">
        <v>562</v>
      </c>
      <c r="C49" s="31" t="s">
        <v>487</v>
      </c>
      <c r="D49" s="14">
        <v>256</v>
      </c>
      <c r="E49" s="15">
        <v>2.87</v>
      </c>
      <c r="F49" s="16">
        <v>6.4000000000000003E-3</v>
      </c>
      <c r="G49" s="75"/>
    </row>
    <row r="50" spans="1:7" x14ac:dyDescent="0.25">
      <c r="A50" s="74" t="s">
        <v>1071</v>
      </c>
      <c r="B50" s="31" t="s">
        <v>1072</v>
      </c>
      <c r="C50" s="31" t="s">
        <v>2032</v>
      </c>
      <c r="D50" s="14">
        <v>75</v>
      </c>
      <c r="E50" s="15">
        <v>2.74</v>
      </c>
      <c r="F50" s="16">
        <v>6.1000000000000004E-3</v>
      </c>
      <c r="G50" s="75"/>
    </row>
    <row r="51" spans="1:7" x14ac:dyDescent="0.25">
      <c r="A51" s="74" t="s">
        <v>729</v>
      </c>
      <c r="B51" s="31" t="s">
        <v>730</v>
      </c>
      <c r="C51" s="31" t="s">
        <v>2028</v>
      </c>
      <c r="D51" s="14">
        <v>348</v>
      </c>
      <c r="E51" s="15">
        <v>2.71</v>
      </c>
      <c r="F51" s="16">
        <v>6.1000000000000004E-3</v>
      </c>
      <c r="G51" s="75"/>
    </row>
    <row r="52" spans="1:7" x14ac:dyDescent="0.25">
      <c r="A52" s="74" t="s">
        <v>596</v>
      </c>
      <c r="B52" s="31" t="s">
        <v>597</v>
      </c>
      <c r="C52" s="31" t="s">
        <v>573</v>
      </c>
      <c r="D52" s="14">
        <v>59</v>
      </c>
      <c r="E52" s="15">
        <v>2.66</v>
      </c>
      <c r="F52" s="16">
        <v>6.0000000000000001E-3</v>
      </c>
      <c r="G52" s="75"/>
    </row>
    <row r="53" spans="1:7" x14ac:dyDescent="0.25">
      <c r="A53" s="74" t="s">
        <v>586</v>
      </c>
      <c r="B53" s="31" t="s">
        <v>587</v>
      </c>
      <c r="C53" s="31" t="s">
        <v>2031</v>
      </c>
      <c r="D53" s="14">
        <v>319</v>
      </c>
      <c r="E53" s="15">
        <v>2.46</v>
      </c>
      <c r="F53" s="16">
        <v>5.4999999999999997E-3</v>
      </c>
      <c r="G53" s="75"/>
    </row>
    <row r="54" spans="1:7" x14ac:dyDescent="0.25">
      <c r="A54" s="74" t="s">
        <v>785</v>
      </c>
      <c r="B54" s="31" t="s">
        <v>786</v>
      </c>
      <c r="C54" s="31" t="s">
        <v>2026</v>
      </c>
      <c r="D54" s="14">
        <v>1218</v>
      </c>
      <c r="E54" s="15">
        <v>2.23</v>
      </c>
      <c r="F54" s="16">
        <v>5.0000000000000001E-3</v>
      </c>
      <c r="G54" s="75"/>
    </row>
    <row r="55" spans="1:7" x14ac:dyDescent="0.25">
      <c r="A55" s="74" t="s">
        <v>1099</v>
      </c>
      <c r="B55" s="31" t="s">
        <v>1100</v>
      </c>
      <c r="C55" s="31" t="s">
        <v>2028</v>
      </c>
      <c r="D55" s="14">
        <v>68</v>
      </c>
      <c r="E55" s="15">
        <v>2.1800000000000002</v>
      </c>
      <c r="F55" s="16">
        <v>4.8999999999999998E-3</v>
      </c>
      <c r="G55" s="75"/>
    </row>
    <row r="56" spans="1:7" x14ac:dyDescent="0.25">
      <c r="A56" s="74" t="s">
        <v>673</v>
      </c>
      <c r="B56" s="31" t="s">
        <v>674</v>
      </c>
      <c r="C56" s="31" t="s">
        <v>2032</v>
      </c>
      <c r="D56" s="14">
        <v>81</v>
      </c>
      <c r="E56" s="15">
        <v>1.99</v>
      </c>
      <c r="F56" s="16">
        <v>4.4999999999999997E-3</v>
      </c>
      <c r="G56" s="75"/>
    </row>
    <row r="57" spans="1:7" x14ac:dyDescent="0.25">
      <c r="A57" s="74" t="s">
        <v>627</v>
      </c>
      <c r="B57" s="31" t="s">
        <v>628</v>
      </c>
      <c r="C57" s="31" t="s">
        <v>440</v>
      </c>
      <c r="D57" s="14">
        <v>555</v>
      </c>
      <c r="E57" s="15">
        <v>1.99</v>
      </c>
      <c r="F57" s="16">
        <v>4.4999999999999997E-3</v>
      </c>
      <c r="G57" s="75"/>
    </row>
    <row r="58" spans="1:7" x14ac:dyDescent="0.25">
      <c r="A58" s="74" t="s">
        <v>590</v>
      </c>
      <c r="B58" s="31" t="s">
        <v>591</v>
      </c>
      <c r="C58" s="31" t="s">
        <v>2032</v>
      </c>
      <c r="D58" s="14">
        <v>75</v>
      </c>
      <c r="E58" s="15">
        <v>1.72</v>
      </c>
      <c r="F58" s="16">
        <v>3.8999999999999998E-3</v>
      </c>
      <c r="G58" s="75"/>
    </row>
    <row r="59" spans="1:7" x14ac:dyDescent="0.25">
      <c r="A59" s="74" t="s">
        <v>600</v>
      </c>
      <c r="B59" s="31" t="s">
        <v>601</v>
      </c>
      <c r="C59" s="31" t="s">
        <v>480</v>
      </c>
      <c r="D59" s="14">
        <v>7</v>
      </c>
      <c r="E59" s="15">
        <v>1.68</v>
      </c>
      <c r="F59" s="16">
        <v>3.8E-3</v>
      </c>
      <c r="G59" s="75"/>
    </row>
    <row r="60" spans="1:7" x14ac:dyDescent="0.25">
      <c r="A60" s="74" t="s">
        <v>1605</v>
      </c>
      <c r="B60" s="31" t="s">
        <v>1238</v>
      </c>
      <c r="C60" s="31" t="s">
        <v>465</v>
      </c>
      <c r="D60" s="14">
        <v>643</v>
      </c>
      <c r="E60" s="15">
        <v>0</v>
      </c>
      <c r="F60" s="53" t="s">
        <v>2022</v>
      </c>
      <c r="G60" s="75"/>
    </row>
    <row r="61" spans="1:7" x14ac:dyDescent="0.25">
      <c r="A61" s="76" t="s">
        <v>90</v>
      </c>
      <c r="B61" s="32"/>
      <c r="C61" s="32"/>
      <c r="D61" s="18"/>
      <c r="E61" s="35">
        <v>443.85</v>
      </c>
      <c r="F61" s="36">
        <v>0.99350000000000005</v>
      </c>
      <c r="G61" s="77"/>
    </row>
    <row r="62" spans="1:7" x14ac:dyDescent="0.25">
      <c r="A62" s="76" t="s">
        <v>815</v>
      </c>
      <c r="B62" s="31"/>
      <c r="C62" s="31"/>
      <c r="D62" s="14"/>
      <c r="E62" s="15"/>
      <c r="F62" s="16"/>
      <c r="G62" s="75"/>
    </row>
    <row r="63" spans="1:7" x14ac:dyDescent="0.25">
      <c r="A63" s="76" t="s">
        <v>90</v>
      </c>
      <c r="B63" s="31"/>
      <c r="C63" s="31"/>
      <c r="D63" s="14"/>
      <c r="E63" s="37" t="s">
        <v>85</v>
      </c>
      <c r="F63" s="38" t="s">
        <v>85</v>
      </c>
      <c r="G63" s="75"/>
    </row>
    <row r="64" spans="1:7" x14ac:dyDescent="0.25">
      <c r="A64" s="78" t="s">
        <v>93</v>
      </c>
      <c r="B64" s="79"/>
      <c r="C64" s="79"/>
      <c r="D64" s="80"/>
      <c r="E64" s="28">
        <v>443.85</v>
      </c>
      <c r="F64" s="29">
        <v>0.99350000000000005</v>
      </c>
      <c r="G64" s="77"/>
    </row>
    <row r="65" spans="1:7" x14ac:dyDescent="0.25">
      <c r="A65" s="74"/>
      <c r="B65" s="31"/>
      <c r="C65" s="31"/>
      <c r="D65" s="14"/>
      <c r="E65" s="15"/>
      <c r="F65" s="16"/>
      <c r="G65" s="75"/>
    </row>
    <row r="66" spans="1:7" x14ac:dyDescent="0.25">
      <c r="A66" s="76" t="s">
        <v>86</v>
      </c>
      <c r="B66" s="31"/>
      <c r="C66" s="31"/>
      <c r="D66" s="14"/>
      <c r="E66" s="15"/>
      <c r="F66" s="16"/>
      <c r="G66" s="75"/>
    </row>
    <row r="67" spans="1:7" x14ac:dyDescent="0.25">
      <c r="A67" s="76" t="s">
        <v>87</v>
      </c>
      <c r="B67" s="31"/>
      <c r="C67" s="31"/>
      <c r="D67" s="14"/>
      <c r="E67" s="15"/>
      <c r="F67" s="16"/>
      <c r="G67" s="75"/>
    </row>
    <row r="68" spans="1:7" x14ac:dyDescent="0.25">
      <c r="A68" s="74" t="s">
        <v>1965</v>
      </c>
      <c r="B68" s="31" t="s">
        <v>1089</v>
      </c>
      <c r="C68" s="31" t="s">
        <v>121</v>
      </c>
      <c r="D68" s="14">
        <v>46</v>
      </c>
      <c r="E68" s="15">
        <v>0.01</v>
      </c>
      <c r="F68" s="53" t="s">
        <v>2022</v>
      </c>
      <c r="G68" s="75">
        <v>5.6500000000000002E-2</v>
      </c>
    </row>
    <row r="69" spans="1:7" x14ac:dyDescent="0.25">
      <c r="A69" s="76" t="s">
        <v>90</v>
      </c>
      <c r="B69" s="32"/>
      <c r="C69" s="32"/>
      <c r="D69" s="18"/>
      <c r="E69" s="35">
        <v>0.01</v>
      </c>
      <c r="F69" s="106" t="s">
        <v>2022</v>
      </c>
      <c r="G69" s="77"/>
    </row>
    <row r="70" spans="1:7" x14ac:dyDescent="0.25">
      <c r="A70" s="74"/>
      <c r="B70" s="31"/>
      <c r="C70" s="31"/>
      <c r="D70" s="14"/>
      <c r="E70" s="15"/>
      <c r="F70" s="16"/>
      <c r="G70" s="75"/>
    </row>
    <row r="71" spans="1:7" x14ac:dyDescent="0.25">
      <c r="A71" s="76" t="s">
        <v>91</v>
      </c>
      <c r="B71" s="31"/>
      <c r="C71" s="31"/>
      <c r="D71" s="14"/>
      <c r="E71" s="15"/>
      <c r="F71" s="16"/>
      <c r="G71" s="75"/>
    </row>
    <row r="72" spans="1:7" x14ac:dyDescent="0.25">
      <c r="A72" s="76" t="s">
        <v>90</v>
      </c>
      <c r="B72" s="31"/>
      <c r="C72" s="31"/>
      <c r="D72" s="14"/>
      <c r="E72" s="37" t="s">
        <v>85</v>
      </c>
      <c r="F72" s="38" t="s">
        <v>85</v>
      </c>
      <c r="G72" s="75"/>
    </row>
    <row r="73" spans="1:7" x14ac:dyDescent="0.25">
      <c r="A73" s="74"/>
      <c r="B73" s="31"/>
      <c r="C73" s="31"/>
      <c r="D73" s="14"/>
      <c r="E73" s="15"/>
      <c r="F73" s="16"/>
      <c r="G73" s="75"/>
    </row>
    <row r="74" spans="1:7" x14ac:dyDescent="0.25">
      <c r="A74" s="76" t="s">
        <v>92</v>
      </c>
      <c r="B74" s="31"/>
      <c r="C74" s="31"/>
      <c r="D74" s="14"/>
      <c r="E74" s="15"/>
      <c r="F74" s="16"/>
      <c r="G74" s="75"/>
    </row>
    <row r="75" spans="1:7" x14ac:dyDescent="0.25">
      <c r="A75" s="76" t="s">
        <v>90</v>
      </c>
      <c r="B75" s="31"/>
      <c r="C75" s="31"/>
      <c r="D75" s="14"/>
      <c r="E75" s="37" t="s">
        <v>85</v>
      </c>
      <c r="F75" s="38" t="s">
        <v>85</v>
      </c>
      <c r="G75" s="75"/>
    </row>
    <row r="76" spans="1:7" x14ac:dyDescent="0.25">
      <c r="A76" s="74"/>
      <c r="B76" s="31"/>
      <c r="C76" s="31"/>
      <c r="D76" s="14"/>
      <c r="E76" s="15"/>
      <c r="F76" s="16"/>
      <c r="G76" s="75"/>
    </row>
    <row r="77" spans="1:7" x14ac:dyDescent="0.25">
      <c r="A77" s="78" t="s">
        <v>93</v>
      </c>
      <c r="B77" s="79"/>
      <c r="C77" s="79"/>
      <c r="D77" s="80"/>
      <c r="E77" s="35">
        <v>0.01</v>
      </c>
      <c r="F77" s="106" t="s">
        <v>2022</v>
      </c>
      <c r="G77" s="77"/>
    </row>
    <row r="78" spans="1:7" x14ac:dyDescent="0.25">
      <c r="A78" s="74"/>
      <c r="B78" s="31"/>
      <c r="C78" s="31"/>
      <c r="D78" s="14"/>
      <c r="E78" s="15"/>
      <c r="F78" s="16"/>
      <c r="G78" s="75"/>
    </row>
    <row r="79" spans="1:7" x14ac:dyDescent="0.25">
      <c r="A79" s="74"/>
      <c r="B79" s="31"/>
      <c r="C79" s="31"/>
      <c r="D79" s="14"/>
      <c r="E79" s="15"/>
      <c r="F79" s="16"/>
      <c r="G79" s="75"/>
    </row>
    <row r="80" spans="1:7" x14ac:dyDescent="0.25">
      <c r="A80" s="76" t="s">
        <v>110</v>
      </c>
      <c r="B80" s="31"/>
      <c r="C80" s="31"/>
      <c r="D80" s="14"/>
      <c r="E80" s="15"/>
      <c r="F80" s="16"/>
      <c r="G80" s="75"/>
    </row>
    <row r="81" spans="1:7" x14ac:dyDescent="0.25">
      <c r="A81" s="74" t="s">
        <v>111</v>
      </c>
      <c r="B81" s="31"/>
      <c r="C81" s="31"/>
      <c r="D81" s="14"/>
      <c r="E81" s="15">
        <v>9</v>
      </c>
      <c r="F81" s="16">
        <v>2.01E-2</v>
      </c>
      <c r="G81" s="75">
        <v>3.5790000000000002E-2</v>
      </c>
    </row>
    <row r="82" spans="1:7" x14ac:dyDescent="0.25">
      <c r="A82" s="76" t="s">
        <v>90</v>
      </c>
      <c r="B82" s="32"/>
      <c r="C82" s="32"/>
      <c r="D82" s="18"/>
      <c r="E82" s="35">
        <v>9</v>
      </c>
      <c r="F82" s="36">
        <v>2.01E-2</v>
      </c>
      <c r="G82" s="77"/>
    </row>
    <row r="83" spans="1:7" x14ac:dyDescent="0.25">
      <c r="A83" s="74"/>
      <c r="B83" s="31"/>
      <c r="C83" s="31"/>
      <c r="D83" s="14"/>
      <c r="E83" s="15"/>
      <c r="F83" s="16"/>
      <c r="G83" s="75"/>
    </row>
    <row r="84" spans="1:7" x14ac:dyDescent="0.25">
      <c r="A84" s="78" t="s">
        <v>93</v>
      </c>
      <c r="B84" s="79"/>
      <c r="C84" s="79"/>
      <c r="D84" s="80"/>
      <c r="E84" s="35">
        <v>9</v>
      </c>
      <c r="F84" s="36">
        <v>2.01E-2</v>
      </c>
      <c r="G84" s="77"/>
    </row>
    <row r="85" spans="1:7" x14ac:dyDescent="0.25">
      <c r="A85" s="74" t="s">
        <v>112</v>
      </c>
      <c r="B85" s="31"/>
      <c r="C85" s="31"/>
      <c r="D85" s="14"/>
      <c r="E85" s="15">
        <v>1.4892E-3</v>
      </c>
      <c r="F85" s="53" t="s">
        <v>2022</v>
      </c>
      <c r="G85" s="75"/>
    </row>
    <row r="86" spans="1:7" x14ac:dyDescent="0.25">
      <c r="A86" s="74" t="s">
        <v>113</v>
      </c>
      <c r="B86" s="31"/>
      <c r="C86" s="31"/>
      <c r="D86" s="14"/>
      <c r="E86" s="24">
        <v>-6.1914892000000004</v>
      </c>
      <c r="F86" s="25">
        <v>-1.3603000000000001E-2</v>
      </c>
      <c r="G86" s="75">
        <v>3.5790000000000002E-2</v>
      </c>
    </row>
    <row r="87" spans="1:7" x14ac:dyDescent="0.25">
      <c r="A87" s="81" t="s">
        <v>114</v>
      </c>
      <c r="B87" s="34"/>
      <c r="C87" s="34"/>
      <c r="D87" s="27"/>
      <c r="E87" s="28">
        <v>446.67</v>
      </c>
      <c r="F87" s="29">
        <v>1</v>
      </c>
      <c r="G87" s="82"/>
    </row>
    <row r="88" spans="1:7" x14ac:dyDescent="0.25">
      <c r="A88" s="54"/>
      <c r="B88" s="56"/>
      <c r="C88" s="56"/>
      <c r="D88" s="56"/>
      <c r="E88" s="56"/>
      <c r="F88" s="56"/>
      <c r="G88" s="66"/>
    </row>
    <row r="89" spans="1:7" x14ac:dyDescent="0.25">
      <c r="A89" s="83" t="s">
        <v>116</v>
      </c>
      <c r="B89" s="56"/>
      <c r="C89" s="56"/>
      <c r="D89" s="56"/>
      <c r="E89" s="56"/>
      <c r="F89" s="56"/>
      <c r="G89" s="66"/>
    </row>
    <row r="90" spans="1:7" ht="50.45" customHeight="1" x14ac:dyDescent="0.25">
      <c r="A90" s="145" t="s">
        <v>1606</v>
      </c>
      <c r="B90" s="146"/>
      <c r="C90" s="146"/>
      <c r="D90" s="146"/>
      <c r="E90" s="146"/>
      <c r="F90" s="146"/>
      <c r="G90" s="66"/>
    </row>
    <row r="91" spans="1:7" x14ac:dyDescent="0.25">
      <c r="A91" s="83" t="s">
        <v>2023</v>
      </c>
      <c r="B91" s="56"/>
      <c r="C91" s="56"/>
      <c r="D91" s="56"/>
      <c r="E91" s="56"/>
      <c r="F91" s="56"/>
      <c r="G91" s="66"/>
    </row>
    <row r="92" spans="1:7" x14ac:dyDescent="0.25">
      <c r="A92" s="54"/>
      <c r="B92" s="56"/>
      <c r="C92" s="56"/>
      <c r="D92" s="56"/>
      <c r="E92" s="56"/>
      <c r="F92" s="56"/>
      <c r="G92" s="66"/>
    </row>
    <row r="93" spans="1:7" x14ac:dyDescent="0.25">
      <c r="A93" s="83" t="s">
        <v>1476</v>
      </c>
      <c r="B93" s="56"/>
      <c r="C93" s="56"/>
      <c r="D93" s="56"/>
      <c r="E93" s="56"/>
      <c r="F93" s="56"/>
      <c r="G93" s="66"/>
    </row>
    <row r="94" spans="1:7" x14ac:dyDescent="0.25">
      <c r="A94" s="84" t="s">
        <v>1477</v>
      </c>
      <c r="B94" s="85" t="s">
        <v>85</v>
      </c>
      <c r="C94" s="56"/>
      <c r="D94" s="56"/>
      <c r="E94" s="56"/>
      <c r="F94" s="56"/>
      <c r="G94" s="66"/>
    </row>
    <row r="95" spans="1:7" x14ac:dyDescent="0.25">
      <c r="A95" s="54" t="s">
        <v>1626</v>
      </c>
      <c r="B95" s="56"/>
      <c r="C95" s="56"/>
      <c r="D95" s="56"/>
      <c r="E95" s="56"/>
      <c r="F95" s="56"/>
      <c r="G95" s="66"/>
    </row>
    <row r="96" spans="1:7" x14ac:dyDescent="0.25">
      <c r="A96" s="54" t="s">
        <v>1478</v>
      </c>
      <c r="B96" s="85" t="s">
        <v>1479</v>
      </c>
      <c r="C96" s="85" t="s">
        <v>1479</v>
      </c>
      <c r="D96" s="56"/>
      <c r="E96" s="56"/>
      <c r="F96" s="56"/>
      <c r="G96" s="66"/>
    </row>
    <row r="97" spans="1:7" x14ac:dyDescent="0.25">
      <c r="A97" s="54"/>
      <c r="B97" s="86">
        <v>44469</v>
      </c>
      <c r="C97" s="86">
        <v>44651</v>
      </c>
      <c r="D97" s="56"/>
      <c r="E97" s="56"/>
      <c r="F97" s="56"/>
      <c r="G97" s="66"/>
    </row>
    <row r="98" spans="1:7" x14ac:dyDescent="0.25">
      <c r="A98" s="54" t="s">
        <v>1483</v>
      </c>
      <c r="B98" s="85" t="s">
        <v>2013</v>
      </c>
      <c r="C98" s="56">
        <v>9.9101999999999997</v>
      </c>
      <c r="D98" s="56"/>
      <c r="E98" s="59"/>
      <c r="F98" s="56"/>
      <c r="G98" s="87"/>
    </row>
    <row r="99" spans="1:7" x14ac:dyDescent="0.25">
      <c r="A99" s="54" t="s">
        <v>1484</v>
      </c>
      <c r="B99" s="85" t="s">
        <v>2013</v>
      </c>
      <c r="C99" s="56">
        <v>9.7728999999999999</v>
      </c>
      <c r="D99" s="56"/>
      <c r="E99" s="59"/>
      <c r="F99" s="56"/>
      <c r="G99" s="87"/>
    </row>
    <row r="100" spans="1:7" x14ac:dyDescent="0.25">
      <c r="A100" s="54" t="s">
        <v>1503</v>
      </c>
      <c r="B100" s="85" t="s">
        <v>2013</v>
      </c>
      <c r="C100" s="56">
        <v>9.7462</v>
      </c>
      <c r="D100" s="56"/>
      <c r="E100" s="59"/>
      <c r="F100" s="56"/>
      <c r="G100" s="87"/>
    </row>
    <row r="101" spans="1:7" x14ac:dyDescent="0.25">
      <c r="A101" s="54" t="s">
        <v>1504</v>
      </c>
      <c r="B101" s="85" t="s">
        <v>2013</v>
      </c>
      <c r="C101" s="56">
        <v>9.7461000000000002</v>
      </c>
      <c r="D101" s="56"/>
      <c r="E101" s="59"/>
      <c r="F101" s="56"/>
      <c r="G101" s="87"/>
    </row>
    <row r="102" spans="1:7" x14ac:dyDescent="0.25">
      <c r="A102" s="54" t="s">
        <v>2014</v>
      </c>
      <c r="B102" s="56"/>
      <c r="C102" s="56"/>
      <c r="D102" s="56"/>
      <c r="E102" s="59"/>
      <c r="F102" s="56"/>
      <c r="G102" s="87"/>
    </row>
    <row r="103" spans="1:7" x14ac:dyDescent="0.25">
      <c r="A103" s="54"/>
      <c r="B103" s="56"/>
      <c r="C103" s="56"/>
      <c r="D103" s="56"/>
      <c r="E103" s="59"/>
      <c r="F103" s="56"/>
      <c r="G103" s="87"/>
    </row>
    <row r="104" spans="1:7" x14ac:dyDescent="0.25">
      <c r="A104" s="54" t="s">
        <v>2006</v>
      </c>
      <c r="B104" s="85" t="s">
        <v>85</v>
      </c>
      <c r="C104" s="56"/>
      <c r="D104" s="56"/>
      <c r="E104" s="56"/>
      <c r="F104" s="56"/>
      <c r="G104" s="66"/>
    </row>
    <row r="105" spans="1:7" x14ac:dyDescent="0.25">
      <c r="A105" s="54" t="s">
        <v>2008</v>
      </c>
      <c r="B105" s="85" t="s">
        <v>85</v>
      </c>
      <c r="C105" s="56"/>
      <c r="D105" s="56"/>
      <c r="E105" s="56"/>
      <c r="F105" s="56"/>
      <c r="G105" s="66"/>
    </row>
    <row r="106" spans="1:7" ht="20.25" customHeight="1" x14ac:dyDescent="0.25">
      <c r="A106" s="84" t="s">
        <v>2009</v>
      </c>
      <c r="B106" s="85" t="s">
        <v>85</v>
      </c>
      <c r="C106" s="56"/>
      <c r="D106" s="56"/>
      <c r="E106" s="56"/>
      <c r="F106" s="56"/>
      <c r="G106" s="66"/>
    </row>
    <row r="107" spans="1:7" x14ac:dyDescent="0.25">
      <c r="A107" s="84" t="s">
        <v>2010</v>
      </c>
      <c r="B107" s="85" t="s">
        <v>85</v>
      </c>
      <c r="C107" s="56"/>
      <c r="D107" s="56"/>
      <c r="E107" s="56"/>
      <c r="F107" s="56"/>
      <c r="G107" s="66"/>
    </row>
    <row r="108" spans="1:7" x14ac:dyDescent="0.25">
      <c r="A108" s="54" t="s">
        <v>1529</v>
      </c>
      <c r="B108" s="85" t="s">
        <v>85</v>
      </c>
      <c r="C108" s="56"/>
      <c r="D108" s="56"/>
      <c r="E108" s="56"/>
      <c r="F108" s="56"/>
      <c r="G108" s="66"/>
    </row>
    <row r="109" spans="1:7" ht="30" x14ac:dyDescent="0.25">
      <c r="A109" s="84" t="s">
        <v>2011</v>
      </c>
      <c r="B109" s="85" t="s">
        <v>85</v>
      </c>
      <c r="C109" s="56"/>
      <c r="D109" s="56"/>
      <c r="E109" s="56"/>
      <c r="F109" s="56"/>
      <c r="G109" s="66"/>
    </row>
    <row r="110" spans="1:7" ht="30" x14ac:dyDescent="0.25">
      <c r="A110" s="84" t="s">
        <v>1495</v>
      </c>
      <c r="B110" s="85" t="s">
        <v>85</v>
      </c>
      <c r="C110" s="56"/>
      <c r="D110" s="56"/>
      <c r="E110" s="56"/>
      <c r="F110" s="56"/>
      <c r="G110" s="66"/>
    </row>
    <row r="111" spans="1:7" x14ac:dyDescent="0.25">
      <c r="A111" s="54" t="s">
        <v>1607</v>
      </c>
      <c r="B111" s="85" t="s">
        <v>85</v>
      </c>
      <c r="C111" s="56"/>
      <c r="D111" s="56"/>
      <c r="E111" s="56"/>
      <c r="F111" s="56"/>
      <c r="G111" s="66"/>
    </row>
    <row r="112" spans="1:7" x14ac:dyDescent="0.25">
      <c r="A112" s="54" t="s">
        <v>1608</v>
      </c>
      <c r="B112" s="85" t="s">
        <v>85</v>
      </c>
      <c r="C112" s="56"/>
      <c r="D112" s="56"/>
      <c r="E112" s="56"/>
      <c r="F112" s="56"/>
      <c r="G112" s="66"/>
    </row>
    <row r="113" spans="1:7" ht="15.75" thickBot="1" x14ac:dyDescent="0.3">
      <c r="A113" s="89"/>
      <c r="B113" s="90"/>
      <c r="C113" s="90"/>
      <c r="D113" s="90"/>
      <c r="E113" s="90"/>
      <c r="F113" s="90"/>
      <c r="G113" s="91"/>
    </row>
    <row r="116" spans="1:7" ht="30" x14ac:dyDescent="0.25">
      <c r="A116" s="107" t="s">
        <v>2042</v>
      </c>
      <c r="B116" s="108" t="s">
        <v>2043</v>
      </c>
      <c r="C116" s="108" t="s">
        <v>2044</v>
      </c>
      <c r="D116" s="109" t="s">
        <v>2045</v>
      </c>
    </row>
    <row r="117" spans="1:7" ht="57.75" customHeight="1" x14ac:dyDescent="0.25">
      <c r="A117" s="110" t="str">
        <f>HYPERLINK("[EDEL_Portfolio Monthly 31-Mar-2022.xlsx]EEIF50!A1","Edelweiss Nifty 50 Index Fund")</f>
        <v>Edelweiss Nifty 50 Index Fund</v>
      </c>
      <c r="B117" s="111"/>
      <c r="C117" s="111" t="s">
        <v>2067</v>
      </c>
      <c r="D117" s="111"/>
    </row>
  </sheetData>
  <mergeCells count="3">
    <mergeCell ref="A3:G3"/>
    <mergeCell ref="A4:G4"/>
    <mergeCell ref="A90:F90"/>
  </mergeCells>
  <pageMargins left="0.7" right="0.7" top="0.75" bottom="0.75" header="0.3" footer="0.3"/>
  <pageSetup orientation="portrait" horizontalDpi="300" verticalDpi="3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99"/>
  <sheetViews>
    <sheetView showGridLines="0" topLeftCell="B1" zoomScaleNormal="100" workbookViewId="0">
      <pane ySplit="6" topLeftCell="A52"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45.5703125" bestFit="1"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56</v>
      </c>
      <c r="B3" s="139"/>
      <c r="C3" s="139"/>
      <c r="D3" s="139"/>
      <c r="E3" s="139"/>
      <c r="F3" s="139"/>
      <c r="G3" s="140"/>
      <c r="H3" s="46" t="str">
        <f>HYPERLINK("[EDEL_Portfolio HY 31032022.xlsx]Index!A1","Index")</f>
        <v>Index</v>
      </c>
    </row>
    <row r="4" spans="1:8" ht="19.5" customHeight="1" x14ac:dyDescent="0.25">
      <c r="A4" s="141" t="s">
        <v>57</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6" t="s">
        <v>84</v>
      </c>
      <c r="B8" s="31"/>
      <c r="C8" s="31"/>
      <c r="D8" s="14"/>
      <c r="E8" s="15"/>
      <c r="F8" s="16"/>
      <c r="G8" s="75"/>
    </row>
    <row r="9" spans="1:8" x14ac:dyDescent="0.25">
      <c r="A9" s="76" t="s">
        <v>435</v>
      </c>
      <c r="B9" s="31"/>
      <c r="C9" s="31"/>
      <c r="D9" s="14"/>
      <c r="E9" s="15"/>
      <c r="F9" s="16"/>
      <c r="G9" s="75"/>
    </row>
    <row r="10" spans="1:8" x14ac:dyDescent="0.25">
      <c r="A10" s="74" t="s">
        <v>438</v>
      </c>
      <c r="B10" s="31" t="s">
        <v>439</v>
      </c>
      <c r="C10" s="31" t="s">
        <v>440</v>
      </c>
      <c r="D10" s="14">
        <v>9707</v>
      </c>
      <c r="E10" s="15">
        <v>255.76</v>
      </c>
      <c r="F10" s="16">
        <v>5.0900000000000001E-2</v>
      </c>
      <c r="G10" s="75"/>
    </row>
    <row r="11" spans="1:8" x14ac:dyDescent="0.25">
      <c r="A11" s="74" t="s">
        <v>472</v>
      </c>
      <c r="B11" s="31" t="s">
        <v>473</v>
      </c>
      <c r="C11" s="31" t="s">
        <v>2027</v>
      </c>
      <c r="D11" s="14">
        <v>10298</v>
      </c>
      <c r="E11" s="15">
        <v>196.37</v>
      </c>
      <c r="F11" s="16">
        <v>3.9100000000000003E-2</v>
      </c>
      <c r="G11" s="75"/>
    </row>
    <row r="12" spans="1:8" x14ac:dyDescent="0.25">
      <c r="A12" s="74" t="s">
        <v>549</v>
      </c>
      <c r="B12" s="31" t="s">
        <v>550</v>
      </c>
      <c r="C12" s="31" t="s">
        <v>465</v>
      </c>
      <c r="D12" s="14">
        <v>12325</v>
      </c>
      <c r="E12" s="15">
        <v>181.22</v>
      </c>
      <c r="F12" s="16">
        <v>3.61E-2</v>
      </c>
      <c r="G12" s="75"/>
    </row>
    <row r="13" spans="1:8" x14ac:dyDescent="0.25">
      <c r="A13" s="74" t="s">
        <v>622</v>
      </c>
      <c r="B13" s="31" t="s">
        <v>623</v>
      </c>
      <c r="C13" s="31" t="s">
        <v>465</v>
      </c>
      <c r="D13" s="14">
        <v>19551</v>
      </c>
      <c r="E13" s="15">
        <v>142.78</v>
      </c>
      <c r="F13" s="16">
        <v>2.8400000000000002E-2</v>
      </c>
      <c r="G13" s="75"/>
    </row>
    <row r="14" spans="1:8" x14ac:dyDescent="0.25">
      <c r="A14" s="74" t="s">
        <v>448</v>
      </c>
      <c r="B14" s="31" t="s">
        <v>449</v>
      </c>
      <c r="C14" s="31" t="s">
        <v>450</v>
      </c>
      <c r="D14" s="14">
        <v>5091</v>
      </c>
      <c r="E14" s="15">
        <v>121.7</v>
      </c>
      <c r="F14" s="16">
        <v>2.4199999999999999E-2</v>
      </c>
      <c r="G14" s="75"/>
    </row>
    <row r="15" spans="1:8" x14ac:dyDescent="0.25">
      <c r="A15" s="74" t="s">
        <v>584</v>
      </c>
      <c r="B15" s="31" t="s">
        <v>585</v>
      </c>
      <c r="C15" s="31" t="s">
        <v>2027</v>
      </c>
      <c r="D15" s="14">
        <v>2914</v>
      </c>
      <c r="E15" s="15">
        <v>108.98</v>
      </c>
      <c r="F15" s="16">
        <v>2.1700000000000001E-2</v>
      </c>
      <c r="G15" s="75"/>
    </row>
    <row r="16" spans="1:8" x14ac:dyDescent="0.25">
      <c r="A16" s="74" t="s">
        <v>1234</v>
      </c>
      <c r="B16" s="31" t="s">
        <v>1235</v>
      </c>
      <c r="C16" s="31" t="s">
        <v>626</v>
      </c>
      <c r="D16" s="14">
        <v>3882</v>
      </c>
      <c r="E16" s="15">
        <v>83.46</v>
      </c>
      <c r="F16" s="16">
        <v>1.66E-2</v>
      </c>
      <c r="G16" s="75"/>
    </row>
    <row r="17" spans="1:7" x14ac:dyDescent="0.25">
      <c r="A17" s="74" t="s">
        <v>463</v>
      </c>
      <c r="B17" s="31" t="s">
        <v>464</v>
      </c>
      <c r="C17" s="31" t="s">
        <v>465</v>
      </c>
      <c r="D17" s="14">
        <v>4132</v>
      </c>
      <c r="E17" s="15">
        <v>72.47</v>
      </c>
      <c r="F17" s="16">
        <v>1.44E-2</v>
      </c>
      <c r="G17" s="75"/>
    </row>
    <row r="18" spans="1:7" x14ac:dyDescent="0.25">
      <c r="A18" s="74" t="s">
        <v>504</v>
      </c>
      <c r="B18" s="31" t="s">
        <v>505</v>
      </c>
      <c r="C18" s="31" t="s">
        <v>2028</v>
      </c>
      <c r="D18" s="14">
        <v>24618</v>
      </c>
      <c r="E18" s="15">
        <v>61.71</v>
      </c>
      <c r="F18" s="16">
        <v>1.23E-2</v>
      </c>
      <c r="G18" s="75"/>
    </row>
    <row r="19" spans="1:7" x14ac:dyDescent="0.25">
      <c r="A19" s="74" t="s">
        <v>492</v>
      </c>
      <c r="B19" s="31" t="s">
        <v>493</v>
      </c>
      <c r="C19" s="31" t="s">
        <v>2029</v>
      </c>
      <c r="D19" s="14">
        <v>3400</v>
      </c>
      <c r="E19" s="15">
        <v>60.1</v>
      </c>
      <c r="F19" s="16">
        <v>1.2E-2</v>
      </c>
      <c r="G19" s="75"/>
    </row>
    <row r="20" spans="1:7" x14ac:dyDescent="0.25">
      <c r="A20" s="74" t="s">
        <v>457</v>
      </c>
      <c r="B20" s="31" t="s">
        <v>458</v>
      </c>
      <c r="C20" s="31" t="s">
        <v>459</v>
      </c>
      <c r="D20" s="14">
        <v>23908</v>
      </c>
      <c r="E20" s="15">
        <v>57.06</v>
      </c>
      <c r="F20" s="16">
        <v>1.14E-2</v>
      </c>
      <c r="G20" s="75"/>
    </row>
    <row r="21" spans="1:7" x14ac:dyDescent="0.25">
      <c r="A21" s="74" t="s">
        <v>481</v>
      </c>
      <c r="B21" s="31" t="s">
        <v>482</v>
      </c>
      <c r="C21" s="31" t="s">
        <v>465</v>
      </c>
      <c r="D21" s="14">
        <v>7428</v>
      </c>
      <c r="E21" s="15">
        <v>56.54</v>
      </c>
      <c r="F21" s="16">
        <v>1.12E-2</v>
      </c>
      <c r="G21" s="75"/>
    </row>
    <row r="22" spans="1:7" x14ac:dyDescent="0.25">
      <c r="A22" s="74" t="s">
        <v>490</v>
      </c>
      <c r="B22" s="31" t="s">
        <v>491</v>
      </c>
      <c r="C22" s="31" t="s">
        <v>450</v>
      </c>
      <c r="D22" s="14">
        <v>750</v>
      </c>
      <c r="E22" s="15">
        <v>54.45</v>
      </c>
      <c r="F22" s="16">
        <v>1.0800000000000001E-2</v>
      </c>
      <c r="G22" s="75"/>
    </row>
    <row r="23" spans="1:7" x14ac:dyDescent="0.25">
      <c r="A23" s="74" t="s">
        <v>537</v>
      </c>
      <c r="B23" s="31" t="s">
        <v>538</v>
      </c>
      <c r="C23" s="31" t="s">
        <v>465</v>
      </c>
      <c r="D23" s="14">
        <v>10798</v>
      </c>
      <c r="E23" s="15">
        <v>53.29</v>
      </c>
      <c r="F23" s="16">
        <v>1.06E-2</v>
      </c>
      <c r="G23" s="75"/>
    </row>
    <row r="24" spans="1:7" x14ac:dyDescent="0.25">
      <c r="A24" s="74" t="s">
        <v>483</v>
      </c>
      <c r="B24" s="31" t="s">
        <v>484</v>
      </c>
      <c r="C24" s="31" t="s">
        <v>2028</v>
      </c>
      <c r="D24" s="14">
        <v>2512</v>
      </c>
      <c r="E24" s="15">
        <v>51.46</v>
      </c>
      <c r="F24" s="16">
        <v>1.0200000000000001E-2</v>
      </c>
      <c r="G24" s="75"/>
    </row>
    <row r="25" spans="1:7" x14ac:dyDescent="0.25">
      <c r="A25" s="74" t="s">
        <v>441</v>
      </c>
      <c r="B25" s="31" t="s">
        <v>442</v>
      </c>
      <c r="C25" s="31" t="s">
        <v>443</v>
      </c>
      <c r="D25" s="14">
        <v>6645</v>
      </c>
      <c r="E25" s="15">
        <v>50.17</v>
      </c>
      <c r="F25" s="16">
        <v>0.01</v>
      </c>
      <c r="G25" s="75"/>
    </row>
    <row r="26" spans="1:7" x14ac:dyDescent="0.25">
      <c r="A26" s="74" t="s">
        <v>1021</v>
      </c>
      <c r="B26" s="31" t="s">
        <v>1022</v>
      </c>
      <c r="C26" s="31" t="s">
        <v>2027</v>
      </c>
      <c r="D26" s="14">
        <v>492</v>
      </c>
      <c r="E26" s="15">
        <v>43.49</v>
      </c>
      <c r="F26" s="16">
        <v>8.6999999999999994E-3</v>
      </c>
      <c r="G26" s="75"/>
    </row>
    <row r="27" spans="1:7" x14ac:dyDescent="0.25">
      <c r="A27" s="74" t="s">
        <v>1073</v>
      </c>
      <c r="B27" s="31" t="s">
        <v>1074</v>
      </c>
      <c r="C27" s="31" t="s">
        <v>615</v>
      </c>
      <c r="D27" s="14">
        <v>3270</v>
      </c>
      <c r="E27" s="15">
        <v>40.72</v>
      </c>
      <c r="F27" s="16">
        <v>8.0999999999999996E-3</v>
      </c>
      <c r="G27" s="75"/>
    </row>
    <row r="28" spans="1:7" x14ac:dyDescent="0.25">
      <c r="A28" s="74" t="s">
        <v>675</v>
      </c>
      <c r="B28" s="31" t="s">
        <v>676</v>
      </c>
      <c r="C28" s="31" t="s">
        <v>677</v>
      </c>
      <c r="D28" s="14">
        <v>3162</v>
      </c>
      <c r="E28" s="15">
        <v>40.33</v>
      </c>
      <c r="F28" s="16">
        <v>8.0000000000000002E-3</v>
      </c>
      <c r="G28" s="75"/>
    </row>
    <row r="29" spans="1:7" x14ac:dyDescent="0.25">
      <c r="A29" s="74" t="s">
        <v>631</v>
      </c>
      <c r="B29" s="31" t="s">
        <v>632</v>
      </c>
      <c r="C29" s="31" t="s">
        <v>2027</v>
      </c>
      <c r="D29" s="14">
        <v>1167</v>
      </c>
      <c r="E29" s="15">
        <v>39.409999999999997</v>
      </c>
      <c r="F29" s="16">
        <v>7.7999999999999996E-3</v>
      </c>
      <c r="G29" s="75"/>
    </row>
    <row r="30" spans="1:7" x14ac:dyDescent="0.25">
      <c r="A30" s="74" t="s">
        <v>803</v>
      </c>
      <c r="B30" s="31" t="s">
        <v>804</v>
      </c>
      <c r="C30" s="31" t="s">
        <v>2028</v>
      </c>
      <c r="D30" s="14">
        <v>1268</v>
      </c>
      <c r="E30" s="15">
        <v>39.049999999999997</v>
      </c>
      <c r="F30" s="16">
        <v>7.7999999999999996E-3</v>
      </c>
      <c r="G30" s="75"/>
    </row>
    <row r="31" spans="1:7" x14ac:dyDescent="0.25">
      <c r="A31" s="74" t="s">
        <v>710</v>
      </c>
      <c r="B31" s="31" t="s">
        <v>711</v>
      </c>
      <c r="C31" s="31" t="s">
        <v>465</v>
      </c>
      <c r="D31" s="14">
        <v>3112</v>
      </c>
      <c r="E31" s="15">
        <v>38.78</v>
      </c>
      <c r="F31" s="16">
        <v>7.7000000000000002E-3</v>
      </c>
      <c r="G31" s="75"/>
    </row>
    <row r="32" spans="1:7" x14ac:dyDescent="0.25">
      <c r="A32" s="74" t="s">
        <v>451</v>
      </c>
      <c r="B32" s="31" t="s">
        <v>452</v>
      </c>
      <c r="C32" s="31" t="s">
        <v>453</v>
      </c>
      <c r="D32" s="14">
        <v>13017</v>
      </c>
      <c r="E32" s="15">
        <v>37.53</v>
      </c>
      <c r="F32" s="16">
        <v>7.4999999999999997E-3</v>
      </c>
      <c r="G32" s="75"/>
    </row>
    <row r="33" spans="1:7" x14ac:dyDescent="0.25">
      <c r="A33" s="74" t="s">
        <v>765</v>
      </c>
      <c r="B33" s="31" t="s">
        <v>766</v>
      </c>
      <c r="C33" s="31" t="s">
        <v>2035</v>
      </c>
      <c r="D33" s="14">
        <v>83</v>
      </c>
      <c r="E33" s="15">
        <v>35.85</v>
      </c>
      <c r="F33" s="16">
        <v>7.1000000000000004E-3</v>
      </c>
      <c r="G33" s="75"/>
    </row>
    <row r="34" spans="1:7" x14ac:dyDescent="0.25">
      <c r="A34" s="74" t="s">
        <v>541</v>
      </c>
      <c r="B34" s="31" t="s">
        <v>542</v>
      </c>
      <c r="C34" s="31" t="s">
        <v>501</v>
      </c>
      <c r="D34" s="14">
        <v>16855</v>
      </c>
      <c r="E34" s="15">
        <v>35.53</v>
      </c>
      <c r="F34" s="16">
        <v>7.1000000000000004E-3</v>
      </c>
      <c r="G34" s="75"/>
    </row>
    <row r="35" spans="1:7" x14ac:dyDescent="0.25">
      <c r="A35" s="74" t="s">
        <v>510</v>
      </c>
      <c r="B35" s="31" t="s">
        <v>511</v>
      </c>
      <c r="C35" s="31" t="s">
        <v>2027</v>
      </c>
      <c r="D35" s="14">
        <v>2978</v>
      </c>
      <c r="E35" s="15">
        <v>34.659999999999997</v>
      </c>
      <c r="F35" s="16">
        <v>6.8999999999999999E-3</v>
      </c>
      <c r="G35" s="75"/>
    </row>
    <row r="36" spans="1:7" x14ac:dyDescent="0.25">
      <c r="A36" s="74" t="s">
        <v>737</v>
      </c>
      <c r="B36" s="31" t="s">
        <v>738</v>
      </c>
      <c r="C36" s="31" t="s">
        <v>2027</v>
      </c>
      <c r="D36" s="14">
        <v>701</v>
      </c>
      <c r="E36" s="15">
        <v>33.4</v>
      </c>
      <c r="F36" s="16">
        <v>6.6E-3</v>
      </c>
      <c r="G36" s="75"/>
    </row>
    <row r="37" spans="1:7" x14ac:dyDescent="0.25">
      <c r="A37" s="74" t="s">
        <v>620</v>
      </c>
      <c r="B37" s="31" t="s">
        <v>621</v>
      </c>
      <c r="C37" s="31" t="s">
        <v>1429</v>
      </c>
      <c r="D37" s="14">
        <v>5538</v>
      </c>
      <c r="E37" s="15">
        <v>32.68</v>
      </c>
      <c r="F37" s="16">
        <v>6.4999999999999997E-3</v>
      </c>
      <c r="G37" s="75"/>
    </row>
    <row r="38" spans="1:7" x14ac:dyDescent="0.25">
      <c r="A38" s="74" t="s">
        <v>655</v>
      </c>
      <c r="B38" s="31" t="s">
        <v>656</v>
      </c>
      <c r="C38" s="31" t="s">
        <v>450</v>
      </c>
      <c r="D38" s="14">
        <v>2826</v>
      </c>
      <c r="E38" s="15">
        <v>32.07</v>
      </c>
      <c r="F38" s="16">
        <v>6.4000000000000003E-3</v>
      </c>
      <c r="G38" s="75"/>
    </row>
    <row r="39" spans="1:7" x14ac:dyDescent="0.25">
      <c r="A39" s="74" t="s">
        <v>745</v>
      </c>
      <c r="B39" s="31" t="s">
        <v>746</v>
      </c>
      <c r="C39" s="31" t="s">
        <v>615</v>
      </c>
      <c r="D39" s="14">
        <v>8405</v>
      </c>
      <c r="E39" s="15">
        <v>31.43</v>
      </c>
      <c r="F39" s="16">
        <v>6.3E-3</v>
      </c>
      <c r="G39" s="75"/>
    </row>
    <row r="40" spans="1:7" x14ac:dyDescent="0.25">
      <c r="A40" s="74" t="s">
        <v>576</v>
      </c>
      <c r="B40" s="31" t="s">
        <v>577</v>
      </c>
      <c r="C40" s="31" t="s">
        <v>456</v>
      </c>
      <c r="D40" s="14">
        <v>5760</v>
      </c>
      <c r="E40" s="15">
        <v>30.69</v>
      </c>
      <c r="F40" s="16">
        <v>6.1000000000000004E-3</v>
      </c>
      <c r="G40" s="75"/>
    </row>
    <row r="41" spans="1:7" x14ac:dyDescent="0.25">
      <c r="A41" s="74" t="s">
        <v>716</v>
      </c>
      <c r="B41" s="31" t="s">
        <v>717</v>
      </c>
      <c r="C41" s="31" t="s">
        <v>615</v>
      </c>
      <c r="D41" s="14">
        <v>1174</v>
      </c>
      <c r="E41" s="15">
        <v>29.77</v>
      </c>
      <c r="F41" s="16">
        <v>5.8999999999999999E-3</v>
      </c>
      <c r="G41" s="75"/>
    </row>
    <row r="42" spans="1:7" x14ac:dyDescent="0.25">
      <c r="A42" s="74" t="s">
        <v>470</v>
      </c>
      <c r="B42" s="31" t="s">
        <v>471</v>
      </c>
      <c r="C42" s="31" t="s">
        <v>456</v>
      </c>
      <c r="D42" s="14">
        <v>2270</v>
      </c>
      <c r="E42" s="15">
        <v>29.67</v>
      </c>
      <c r="F42" s="16">
        <v>5.8999999999999999E-3</v>
      </c>
      <c r="G42" s="75"/>
    </row>
    <row r="43" spans="1:7" x14ac:dyDescent="0.25">
      <c r="A43" s="74" t="s">
        <v>735</v>
      </c>
      <c r="B43" s="31" t="s">
        <v>736</v>
      </c>
      <c r="C43" s="31" t="s">
        <v>487</v>
      </c>
      <c r="D43" s="14">
        <v>170</v>
      </c>
      <c r="E43" s="15">
        <v>29</v>
      </c>
      <c r="F43" s="16">
        <v>5.7999999999999996E-3</v>
      </c>
      <c r="G43" s="75"/>
    </row>
    <row r="44" spans="1:7" x14ac:dyDescent="0.25">
      <c r="A44" s="74" t="s">
        <v>1236</v>
      </c>
      <c r="B44" s="31" t="s">
        <v>1237</v>
      </c>
      <c r="C44" s="31" t="s">
        <v>2024</v>
      </c>
      <c r="D44" s="14">
        <v>3727</v>
      </c>
      <c r="E44" s="15">
        <v>28.87</v>
      </c>
      <c r="F44" s="16">
        <v>5.7000000000000002E-3</v>
      </c>
      <c r="G44" s="75"/>
    </row>
    <row r="45" spans="1:7" x14ac:dyDescent="0.25">
      <c r="A45" s="74" t="s">
        <v>582</v>
      </c>
      <c r="B45" s="31" t="s">
        <v>583</v>
      </c>
      <c r="C45" s="31" t="s">
        <v>2032</v>
      </c>
      <c r="D45" s="14">
        <v>374</v>
      </c>
      <c r="E45" s="15">
        <v>28.28</v>
      </c>
      <c r="F45" s="16">
        <v>5.5999999999999999E-3</v>
      </c>
      <c r="G45" s="75"/>
    </row>
    <row r="46" spans="1:7" x14ac:dyDescent="0.25">
      <c r="A46" s="74" t="s">
        <v>724</v>
      </c>
      <c r="B46" s="31" t="s">
        <v>725</v>
      </c>
      <c r="C46" s="31" t="s">
        <v>1429</v>
      </c>
      <c r="D46" s="14">
        <v>3038</v>
      </c>
      <c r="E46" s="15">
        <v>27.79</v>
      </c>
      <c r="F46" s="16">
        <v>5.4999999999999997E-3</v>
      </c>
      <c r="G46" s="75"/>
    </row>
    <row r="47" spans="1:7" x14ac:dyDescent="0.25">
      <c r="A47" s="74" t="s">
        <v>525</v>
      </c>
      <c r="B47" s="31" t="s">
        <v>526</v>
      </c>
      <c r="C47" s="31" t="s">
        <v>494</v>
      </c>
      <c r="D47" s="14">
        <v>1648</v>
      </c>
      <c r="E47" s="15">
        <v>27.56</v>
      </c>
      <c r="F47" s="16">
        <v>5.4999999999999997E-3</v>
      </c>
      <c r="G47" s="75"/>
    </row>
    <row r="48" spans="1:7" x14ac:dyDescent="0.25">
      <c r="A48" s="74" t="s">
        <v>680</v>
      </c>
      <c r="B48" s="31" t="s">
        <v>681</v>
      </c>
      <c r="C48" s="31" t="s">
        <v>465</v>
      </c>
      <c r="D48" s="14">
        <v>28211</v>
      </c>
      <c r="E48" s="15">
        <v>27.48</v>
      </c>
      <c r="F48" s="16">
        <v>5.4999999999999997E-3</v>
      </c>
      <c r="G48" s="75"/>
    </row>
    <row r="49" spans="1:7" x14ac:dyDescent="0.25">
      <c r="A49" s="74" t="s">
        <v>761</v>
      </c>
      <c r="B49" s="31" t="s">
        <v>762</v>
      </c>
      <c r="C49" s="31" t="s">
        <v>2030</v>
      </c>
      <c r="D49" s="14">
        <v>2866</v>
      </c>
      <c r="E49" s="15">
        <v>27.42</v>
      </c>
      <c r="F49" s="16">
        <v>5.4999999999999997E-3</v>
      </c>
      <c r="G49" s="75"/>
    </row>
    <row r="50" spans="1:7" x14ac:dyDescent="0.25">
      <c r="A50" s="74" t="s">
        <v>712</v>
      </c>
      <c r="B50" s="31" t="s">
        <v>713</v>
      </c>
      <c r="C50" s="31" t="s">
        <v>1429</v>
      </c>
      <c r="D50" s="14">
        <v>3970</v>
      </c>
      <c r="E50" s="15">
        <v>26.54</v>
      </c>
      <c r="F50" s="16">
        <v>5.3E-3</v>
      </c>
      <c r="G50" s="75"/>
    </row>
    <row r="51" spans="1:7" x14ac:dyDescent="0.25">
      <c r="A51" s="74" t="s">
        <v>639</v>
      </c>
      <c r="B51" s="31" t="s">
        <v>640</v>
      </c>
      <c r="C51" s="31" t="s">
        <v>608</v>
      </c>
      <c r="D51" s="14">
        <v>11006</v>
      </c>
      <c r="E51" s="15">
        <v>26.25</v>
      </c>
      <c r="F51" s="16">
        <v>5.1999999999999998E-3</v>
      </c>
      <c r="G51" s="75"/>
    </row>
    <row r="52" spans="1:7" x14ac:dyDescent="0.25">
      <c r="A52" s="74" t="s">
        <v>653</v>
      </c>
      <c r="B52" s="31" t="s">
        <v>654</v>
      </c>
      <c r="C52" s="31" t="s">
        <v>2027</v>
      </c>
      <c r="D52" s="14">
        <v>1749</v>
      </c>
      <c r="E52" s="15">
        <v>26.23</v>
      </c>
      <c r="F52" s="16">
        <v>5.1999999999999998E-3</v>
      </c>
      <c r="G52" s="75"/>
    </row>
    <row r="53" spans="1:7" x14ac:dyDescent="0.25">
      <c r="A53" s="74" t="s">
        <v>633</v>
      </c>
      <c r="B53" s="31" t="s">
        <v>634</v>
      </c>
      <c r="C53" s="31" t="s">
        <v>2024</v>
      </c>
      <c r="D53" s="14">
        <v>3871</v>
      </c>
      <c r="E53" s="15">
        <v>26.02</v>
      </c>
      <c r="F53" s="16">
        <v>5.1999999999999998E-3</v>
      </c>
      <c r="G53" s="75"/>
    </row>
    <row r="54" spans="1:7" x14ac:dyDescent="0.25">
      <c r="A54" s="74" t="s">
        <v>556</v>
      </c>
      <c r="B54" s="31" t="s">
        <v>557</v>
      </c>
      <c r="C54" s="31" t="s">
        <v>558</v>
      </c>
      <c r="D54" s="14">
        <v>3615</v>
      </c>
      <c r="E54" s="15">
        <v>25.33</v>
      </c>
      <c r="F54" s="16">
        <v>5.0000000000000001E-3</v>
      </c>
      <c r="G54" s="75"/>
    </row>
    <row r="55" spans="1:7" x14ac:dyDescent="0.25">
      <c r="A55" s="74" t="s">
        <v>688</v>
      </c>
      <c r="B55" s="31" t="s">
        <v>689</v>
      </c>
      <c r="C55" s="31" t="s">
        <v>558</v>
      </c>
      <c r="D55" s="14">
        <v>1248</v>
      </c>
      <c r="E55" s="15">
        <v>25.25</v>
      </c>
      <c r="F55" s="16">
        <v>5.0000000000000001E-3</v>
      </c>
      <c r="G55" s="75"/>
    </row>
    <row r="56" spans="1:7" x14ac:dyDescent="0.25">
      <c r="A56" s="74" t="s">
        <v>1023</v>
      </c>
      <c r="B56" s="31" t="s">
        <v>1024</v>
      </c>
      <c r="C56" s="31" t="s">
        <v>1429</v>
      </c>
      <c r="D56" s="14">
        <v>692</v>
      </c>
      <c r="E56" s="15">
        <v>25.06</v>
      </c>
      <c r="F56" s="16">
        <v>5.0000000000000001E-3</v>
      </c>
      <c r="G56" s="75"/>
    </row>
    <row r="57" spans="1:7" x14ac:dyDescent="0.25">
      <c r="A57" s="74" t="s">
        <v>1101</v>
      </c>
      <c r="B57" s="31" t="s">
        <v>1102</v>
      </c>
      <c r="C57" s="31" t="s">
        <v>2027</v>
      </c>
      <c r="D57" s="14">
        <v>4165</v>
      </c>
      <c r="E57" s="15">
        <v>24.65</v>
      </c>
      <c r="F57" s="16">
        <v>4.8999999999999998E-3</v>
      </c>
      <c r="G57" s="75"/>
    </row>
    <row r="58" spans="1:7" x14ac:dyDescent="0.25">
      <c r="A58" s="74" t="s">
        <v>661</v>
      </c>
      <c r="B58" s="31" t="s">
        <v>662</v>
      </c>
      <c r="C58" s="31" t="s">
        <v>2025</v>
      </c>
      <c r="D58" s="14">
        <v>1146</v>
      </c>
      <c r="E58" s="15">
        <v>24.48</v>
      </c>
      <c r="F58" s="16">
        <v>4.8999999999999998E-3</v>
      </c>
      <c r="G58" s="75"/>
    </row>
    <row r="59" spans="1:7" x14ac:dyDescent="0.25">
      <c r="A59" s="74" t="s">
        <v>686</v>
      </c>
      <c r="B59" s="31" t="s">
        <v>687</v>
      </c>
      <c r="C59" s="31" t="s">
        <v>440</v>
      </c>
      <c r="D59" s="14">
        <v>9012</v>
      </c>
      <c r="E59" s="15">
        <v>24.27</v>
      </c>
      <c r="F59" s="16">
        <v>4.7999999999999996E-3</v>
      </c>
      <c r="G59" s="75"/>
    </row>
    <row r="60" spans="1:7" x14ac:dyDescent="0.25">
      <c r="A60" s="74" t="s">
        <v>533</v>
      </c>
      <c r="B60" s="31" t="s">
        <v>534</v>
      </c>
      <c r="C60" s="31" t="s">
        <v>514</v>
      </c>
      <c r="D60" s="14">
        <v>10784</v>
      </c>
      <c r="E60" s="15">
        <v>24.23</v>
      </c>
      <c r="F60" s="16">
        <v>4.7999999999999996E-3</v>
      </c>
      <c r="G60" s="75"/>
    </row>
    <row r="61" spans="1:7" x14ac:dyDescent="0.25">
      <c r="A61" s="74" t="s">
        <v>696</v>
      </c>
      <c r="B61" s="31" t="s">
        <v>697</v>
      </c>
      <c r="C61" s="31" t="s">
        <v>2032</v>
      </c>
      <c r="D61" s="14">
        <v>20306</v>
      </c>
      <c r="E61" s="15">
        <v>23.81</v>
      </c>
      <c r="F61" s="16">
        <v>4.7000000000000002E-3</v>
      </c>
      <c r="G61" s="75"/>
    </row>
    <row r="62" spans="1:7" x14ac:dyDescent="0.25">
      <c r="A62" s="74" t="s">
        <v>1143</v>
      </c>
      <c r="B62" s="31" t="s">
        <v>1144</v>
      </c>
      <c r="C62" s="31" t="s">
        <v>2030</v>
      </c>
      <c r="D62" s="14">
        <v>230</v>
      </c>
      <c r="E62" s="15">
        <v>23.67</v>
      </c>
      <c r="F62" s="16">
        <v>4.7000000000000002E-3</v>
      </c>
      <c r="G62" s="75"/>
    </row>
    <row r="63" spans="1:7" x14ac:dyDescent="0.25">
      <c r="A63" s="74" t="s">
        <v>508</v>
      </c>
      <c r="B63" s="31" t="s">
        <v>509</v>
      </c>
      <c r="C63" s="31" t="s">
        <v>462</v>
      </c>
      <c r="D63" s="14">
        <v>4110</v>
      </c>
      <c r="E63" s="15">
        <v>23.41</v>
      </c>
      <c r="F63" s="16">
        <v>4.7000000000000002E-3</v>
      </c>
      <c r="G63" s="75"/>
    </row>
    <row r="64" spans="1:7" x14ac:dyDescent="0.25">
      <c r="A64" s="74" t="s">
        <v>567</v>
      </c>
      <c r="B64" s="31" t="s">
        <v>568</v>
      </c>
      <c r="C64" s="31" t="s">
        <v>2030</v>
      </c>
      <c r="D64" s="14">
        <v>1040</v>
      </c>
      <c r="E64" s="15">
        <v>23.34</v>
      </c>
      <c r="F64" s="16">
        <v>4.5999999999999999E-3</v>
      </c>
      <c r="G64" s="75"/>
    </row>
    <row r="65" spans="1:7" x14ac:dyDescent="0.25">
      <c r="A65" s="74" t="s">
        <v>781</v>
      </c>
      <c r="B65" s="31" t="s">
        <v>782</v>
      </c>
      <c r="C65" s="31" t="s">
        <v>487</v>
      </c>
      <c r="D65" s="14">
        <v>3069</v>
      </c>
      <c r="E65" s="15">
        <v>23.14</v>
      </c>
      <c r="F65" s="16">
        <v>4.5999999999999999E-3</v>
      </c>
      <c r="G65" s="75"/>
    </row>
    <row r="66" spans="1:7" x14ac:dyDescent="0.25">
      <c r="A66" s="74" t="s">
        <v>1036</v>
      </c>
      <c r="B66" s="31" t="s">
        <v>1037</v>
      </c>
      <c r="C66" s="31" t="s">
        <v>2025</v>
      </c>
      <c r="D66" s="14">
        <v>1389</v>
      </c>
      <c r="E66" s="15">
        <v>22.57</v>
      </c>
      <c r="F66" s="16">
        <v>4.4999999999999997E-3</v>
      </c>
      <c r="G66" s="75"/>
    </row>
    <row r="67" spans="1:7" x14ac:dyDescent="0.25">
      <c r="A67" s="74" t="s">
        <v>1121</v>
      </c>
      <c r="B67" s="31" t="s">
        <v>1122</v>
      </c>
      <c r="C67" s="31" t="s">
        <v>615</v>
      </c>
      <c r="D67" s="14">
        <v>519</v>
      </c>
      <c r="E67" s="15">
        <v>22.36</v>
      </c>
      <c r="F67" s="16">
        <v>4.4000000000000003E-3</v>
      </c>
      <c r="G67" s="75"/>
    </row>
    <row r="68" spans="1:7" x14ac:dyDescent="0.25">
      <c r="A68" s="74" t="s">
        <v>1233</v>
      </c>
      <c r="B68" s="31" t="s">
        <v>1238</v>
      </c>
      <c r="C68" s="31" t="s">
        <v>465</v>
      </c>
      <c r="D68" s="14">
        <v>180389</v>
      </c>
      <c r="E68" s="15">
        <v>22.19</v>
      </c>
      <c r="F68" s="16">
        <v>4.4000000000000003E-3</v>
      </c>
      <c r="G68" s="75"/>
    </row>
    <row r="69" spans="1:7" x14ac:dyDescent="0.25">
      <c r="A69" s="74" t="s">
        <v>702</v>
      </c>
      <c r="B69" s="31" t="s">
        <v>703</v>
      </c>
      <c r="C69" s="31" t="s">
        <v>2032</v>
      </c>
      <c r="D69" s="14">
        <v>5045</v>
      </c>
      <c r="E69" s="15">
        <v>21.88</v>
      </c>
      <c r="F69" s="16">
        <v>4.4000000000000003E-3</v>
      </c>
      <c r="G69" s="75"/>
    </row>
    <row r="70" spans="1:7" x14ac:dyDescent="0.25">
      <c r="A70" s="74" t="s">
        <v>682</v>
      </c>
      <c r="B70" s="31" t="s">
        <v>683</v>
      </c>
      <c r="C70" s="31" t="s">
        <v>2030</v>
      </c>
      <c r="D70" s="14">
        <v>2230</v>
      </c>
      <c r="E70" s="15">
        <v>21.73</v>
      </c>
      <c r="F70" s="16">
        <v>4.3E-3</v>
      </c>
      <c r="G70" s="75"/>
    </row>
    <row r="71" spans="1:7" x14ac:dyDescent="0.25">
      <c r="A71" s="74" t="s">
        <v>741</v>
      </c>
      <c r="B71" s="31" t="s">
        <v>742</v>
      </c>
      <c r="C71" s="31" t="s">
        <v>2032</v>
      </c>
      <c r="D71" s="14">
        <v>2693</v>
      </c>
      <c r="E71" s="15">
        <v>21.72</v>
      </c>
      <c r="F71" s="16">
        <v>4.3E-3</v>
      </c>
      <c r="G71" s="75"/>
    </row>
    <row r="72" spans="1:7" x14ac:dyDescent="0.25">
      <c r="A72" s="74" t="s">
        <v>611</v>
      </c>
      <c r="B72" s="31" t="s">
        <v>612</v>
      </c>
      <c r="C72" s="31" t="s">
        <v>465</v>
      </c>
      <c r="D72" s="14">
        <v>9476</v>
      </c>
      <c r="E72" s="15">
        <v>21.58</v>
      </c>
      <c r="F72" s="16">
        <v>4.3E-3</v>
      </c>
      <c r="G72" s="75"/>
    </row>
    <row r="73" spans="1:7" x14ac:dyDescent="0.25">
      <c r="A73" s="74" t="s">
        <v>1113</v>
      </c>
      <c r="B73" s="31" t="s">
        <v>1114</v>
      </c>
      <c r="C73" s="31" t="s">
        <v>558</v>
      </c>
      <c r="D73" s="14">
        <v>1918</v>
      </c>
      <c r="E73" s="15">
        <v>21.51</v>
      </c>
      <c r="F73" s="16">
        <v>4.3E-3</v>
      </c>
      <c r="G73" s="75"/>
    </row>
    <row r="74" spans="1:7" x14ac:dyDescent="0.25">
      <c r="A74" s="74" t="s">
        <v>657</v>
      </c>
      <c r="B74" s="31" t="s">
        <v>658</v>
      </c>
      <c r="C74" s="31" t="s">
        <v>480</v>
      </c>
      <c r="D74" s="14">
        <v>325</v>
      </c>
      <c r="E74" s="15">
        <v>21.46</v>
      </c>
      <c r="F74" s="16">
        <v>4.3E-3</v>
      </c>
      <c r="G74" s="75"/>
    </row>
    <row r="75" spans="1:7" x14ac:dyDescent="0.25">
      <c r="A75" s="74" t="s">
        <v>1239</v>
      </c>
      <c r="B75" s="31" t="s">
        <v>1240</v>
      </c>
      <c r="C75" s="31" t="s">
        <v>573</v>
      </c>
      <c r="D75" s="14">
        <v>7354</v>
      </c>
      <c r="E75" s="15">
        <v>21.36</v>
      </c>
      <c r="F75" s="16">
        <v>4.1999999999999997E-3</v>
      </c>
      <c r="G75" s="75"/>
    </row>
    <row r="76" spans="1:7" x14ac:dyDescent="0.25">
      <c r="A76" s="74" t="s">
        <v>708</v>
      </c>
      <c r="B76" s="31" t="s">
        <v>709</v>
      </c>
      <c r="C76" s="31" t="s">
        <v>459</v>
      </c>
      <c r="D76" s="14">
        <v>9617</v>
      </c>
      <c r="E76" s="15">
        <v>20.85</v>
      </c>
      <c r="F76" s="16">
        <v>4.1000000000000003E-3</v>
      </c>
      <c r="G76" s="75"/>
    </row>
    <row r="77" spans="1:7" x14ac:dyDescent="0.25">
      <c r="A77" s="74" t="s">
        <v>714</v>
      </c>
      <c r="B77" s="31" t="s">
        <v>715</v>
      </c>
      <c r="C77" s="31" t="s">
        <v>1429</v>
      </c>
      <c r="D77" s="14">
        <v>1934</v>
      </c>
      <c r="E77" s="15">
        <v>20.61</v>
      </c>
      <c r="F77" s="16">
        <v>4.1000000000000003E-3</v>
      </c>
      <c r="G77" s="75"/>
    </row>
    <row r="78" spans="1:7" x14ac:dyDescent="0.25">
      <c r="A78" s="74" t="s">
        <v>733</v>
      </c>
      <c r="B78" s="31" t="s">
        <v>734</v>
      </c>
      <c r="C78" s="31" t="s">
        <v>626</v>
      </c>
      <c r="D78" s="14">
        <v>10588</v>
      </c>
      <c r="E78" s="15">
        <v>20.51</v>
      </c>
      <c r="F78" s="16">
        <v>4.1000000000000003E-3</v>
      </c>
      <c r="G78" s="75"/>
    </row>
    <row r="79" spans="1:7" x14ac:dyDescent="0.25">
      <c r="A79" s="74" t="s">
        <v>521</v>
      </c>
      <c r="B79" s="31" t="s">
        <v>522</v>
      </c>
      <c r="C79" s="31" t="s">
        <v>443</v>
      </c>
      <c r="D79" s="14">
        <v>1650</v>
      </c>
      <c r="E79" s="15">
        <v>20.27</v>
      </c>
      <c r="F79" s="16">
        <v>4.0000000000000001E-3</v>
      </c>
      <c r="G79" s="75"/>
    </row>
    <row r="80" spans="1:7" x14ac:dyDescent="0.25">
      <c r="A80" s="74" t="s">
        <v>1241</v>
      </c>
      <c r="B80" s="31" t="s">
        <v>1242</v>
      </c>
      <c r="C80" s="31" t="s">
        <v>2028</v>
      </c>
      <c r="D80" s="14">
        <v>2140</v>
      </c>
      <c r="E80" s="15">
        <v>20.14</v>
      </c>
      <c r="F80" s="16">
        <v>4.0000000000000001E-3</v>
      </c>
      <c r="G80" s="75"/>
    </row>
    <row r="81" spans="1:7" x14ac:dyDescent="0.25">
      <c r="A81" s="74" t="s">
        <v>801</v>
      </c>
      <c r="B81" s="31" t="s">
        <v>802</v>
      </c>
      <c r="C81" s="31" t="s">
        <v>2030</v>
      </c>
      <c r="D81" s="14">
        <v>490</v>
      </c>
      <c r="E81" s="15">
        <v>20</v>
      </c>
      <c r="F81" s="16">
        <v>4.0000000000000001E-3</v>
      </c>
      <c r="G81" s="75"/>
    </row>
    <row r="82" spans="1:7" x14ac:dyDescent="0.25">
      <c r="A82" s="74" t="s">
        <v>747</v>
      </c>
      <c r="B82" s="31" t="s">
        <v>748</v>
      </c>
      <c r="C82" s="31" t="s">
        <v>456</v>
      </c>
      <c r="D82" s="14">
        <v>2721</v>
      </c>
      <c r="E82" s="15">
        <v>19.940000000000001</v>
      </c>
      <c r="F82" s="16">
        <v>4.0000000000000001E-3</v>
      </c>
      <c r="G82" s="75"/>
    </row>
    <row r="83" spans="1:7" x14ac:dyDescent="0.25">
      <c r="A83" s="74" t="s">
        <v>811</v>
      </c>
      <c r="B83" s="31" t="s">
        <v>812</v>
      </c>
      <c r="C83" s="31" t="s">
        <v>2027</v>
      </c>
      <c r="D83" s="14">
        <v>387</v>
      </c>
      <c r="E83" s="15">
        <v>19.760000000000002</v>
      </c>
      <c r="F83" s="16">
        <v>3.8999999999999998E-3</v>
      </c>
      <c r="G83" s="75"/>
    </row>
    <row r="84" spans="1:7" x14ac:dyDescent="0.25">
      <c r="A84" s="74" t="s">
        <v>694</v>
      </c>
      <c r="B84" s="31" t="s">
        <v>695</v>
      </c>
      <c r="C84" s="31" t="s">
        <v>2032</v>
      </c>
      <c r="D84" s="14">
        <v>3152</v>
      </c>
      <c r="E84" s="15">
        <v>19.72</v>
      </c>
      <c r="F84" s="16">
        <v>3.8999999999999998E-3</v>
      </c>
      <c r="G84" s="75"/>
    </row>
    <row r="85" spans="1:7" x14ac:dyDescent="0.25">
      <c r="A85" s="74" t="s">
        <v>488</v>
      </c>
      <c r="B85" s="31" t="s">
        <v>489</v>
      </c>
      <c r="C85" s="31" t="s">
        <v>2027</v>
      </c>
      <c r="D85" s="14">
        <v>430</v>
      </c>
      <c r="E85" s="15">
        <v>19.170000000000002</v>
      </c>
      <c r="F85" s="16">
        <v>3.8E-3</v>
      </c>
      <c r="G85" s="75"/>
    </row>
    <row r="86" spans="1:7" x14ac:dyDescent="0.25">
      <c r="A86" s="74" t="s">
        <v>1243</v>
      </c>
      <c r="B86" s="31" t="s">
        <v>1244</v>
      </c>
      <c r="C86" s="31" t="s">
        <v>2025</v>
      </c>
      <c r="D86" s="14">
        <v>29</v>
      </c>
      <c r="E86" s="15">
        <v>18.86</v>
      </c>
      <c r="F86" s="16">
        <v>3.8E-3</v>
      </c>
      <c r="G86" s="75"/>
    </row>
    <row r="87" spans="1:7" x14ac:dyDescent="0.25">
      <c r="A87" s="74" t="s">
        <v>1129</v>
      </c>
      <c r="B87" s="31" t="s">
        <v>1130</v>
      </c>
      <c r="C87" s="31" t="s">
        <v>456</v>
      </c>
      <c r="D87" s="14">
        <v>2049</v>
      </c>
      <c r="E87" s="15">
        <v>18.739999999999998</v>
      </c>
      <c r="F87" s="16">
        <v>3.7000000000000002E-3</v>
      </c>
      <c r="G87" s="75"/>
    </row>
    <row r="88" spans="1:7" x14ac:dyDescent="0.25">
      <c r="A88" s="74" t="s">
        <v>1097</v>
      </c>
      <c r="B88" s="31" t="s">
        <v>1098</v>
      </c>
      <c r="C88" s="31" t="s">
        <v>558</v>
      </c>
      <c r="D88" s="14">
        <v>915</v>
      </c>
      <c r="E88" s="15">
        <v>18.73</v>
      </c>
      <c r="F88" s="16">
        <v>3.7000000000000002E-3</v>
      </c>
      <c r="G88" s="75"/>
    </row>
    <row r="89" spans="1:7" x14ac:dyDescent="0.25">
      <c r="A89" s="74" t="s">
        <v>1245</v>
      </c>
      <c r="B89" s="31" t="s">
        <v>1246</v>
      </c>
      <c r="C89" s="31" t="s">
        <v>450</v>
      </c>
      <c r="D89" s="14">
        <v>957</v>
      </c>
      <c r="E89" s="15">
        <v>18.57</v>
      </c>
      <c r="F89" s="16">
        <v>3.7000000000000002E-3</v>
      </c>
      <c r="G89" s="75"/>
    </row>
    <row r="90" spans="1:7" x14ac:dyDescent="0.25">
      <c r="A90" s="74" t="s">
        <v>1111</v>
      </c>
      <c r="B90" s="31" t="s">
        <v>1112</v>
      </c>
      <c r="C90" s="31" t="s">
        <v>573</v>
      </c>
      <c r="D90" s="14">
        <v>5338</v>
      </c>
      <c r="E90" s="15">
        <v>18.559999999999999</v>
      </c>
      <c r="F90" s="16">
        <v>3.7000000000000002E-3</v>
      </c>
      <c r="G90" s="75"/>
    </row>
    <row r="91" spans="1:7" x14ac:dyDescent="0.25">
      <c r="A91" s="74" t="s">
        <v>1247</v>
      </c>
      <c r="B91" s="31" t="s">
        <v>1248</v>
      </c>
      <c r="C91" s="31" t="s">
        <v>459</v>
      </c>
      <c r="D91" s="14">
        <v>968</v>
      </c>
      <c r="E91" s="15">
        <v>18.53</v>
      </c>
      <c r="F91" s="16">
        <v>3.7000000000000002E-3</v>
      </c>
      <c r="G91" s="75"/>
    </row>
    <row r="92" spans="1:7" x14ac:dyDescent="0.25">
      <c r="A92" s="74" t="s">
        <v>1249</v>
      </c>
      <c r="B92" s="31" t="s">
        <v>1250</v>
      </c>
      <c r="C92" s="31" t="s">
        <v>2025</v>
      </c>
      <c r="D92" s="14">
        <v>2722</v>
      </c>
      <c r="E92" s="15">
        <v>18.489999999999998</v>
      </c>
      <c r="F92" s="16">
        <v>3.7000000000000002E-3</v>
      </c>
      <c r="G92" s="75"/>
    </row>
    <row r="93" spans="1:7" x14ac:dyDescent="0.25">
      <c r="A93" s="74" t="s">
        <v>519</v>
      </c>
      <c r="B93" s="31" t="s">
        <v>520</v>
      </c>
      <c r="C93" s="31" t="s">
        <v>450</v>
      </c>
      <c r="D93" s="14">
        <v>16399</v>
      </c>
      <c r="E93" s="15">
        <v>18.47</v>
      </c>
      <c r="F93" s="16">
        <v>3.7000000000000002E-3</v>
      </c>
      <c r="G93" s="75"/>
    </row>
    <row r="94" spans="1:7" x14ac:dyDescent="0.25">
      <c r="A94" s="74" t="s">
        <v>767</v>
      </c>
      <c r="B94" s="31" t="s">
        <v>768</v>
      </c>
      <c r="C94" s="31" t="s">
        <v>626</v>
      </c>
      <c r="D94" s="14">
        <v>4941</v>
      </c>
      <c r="E94" s="15">
        <v>18.440000000000001</v>
      </c>
      <c r="F94" s="16">
        <v>3.7000000000000002E-3</v>
      </c>
      <c r="G94" s="75"/>
    </row>
    <row r="95" spans="1:7" x14ac:dyDescent="0.25">
      <c r="A95" s="74" t="s">
        <v>1251</v>
      </c>
      <c r="B95" s="31" t="s">
        <v>1252</v>
      </c>
      <c r="C95" s="31" t="s">
        <v>459</v>
      </c>
      <c r="D95" s="14">
        <v>774</v>
      </c>
      <c r="E95" s="15">
        <v>18.329999999999998</v>
      </c>
      <c r="F95" s="16">
        <v>3.5999999999999999E-3</v>
      </c>
      <c r="G95" s="75"/>
    </row>
    <row r="96" spans="1:7" x14ac:dyDescent="0.25">
      <c r="A96" s="74" t="s">
        <v>629</v>
      </c>
      <c r="B96" s="31" t="s">
        <v>630</v>
      </c>
      <c r="C96" s="31" t="s">
        <v>459</v>
      </c>
      <c r="D96" s="14">
        <v>13369</v>
      </c>
      <c r="E96" s="15">
        <v>18.05</v>
      </c>
      <c r="F96" s="16">
        <v>3.5999999999999999E-3</v>
      </c>
      <c r="G96" s="75"/>
    </row>
    <row r="97" spans="1:7" x14ac:dyDescent="0.25">
      <c r="A97" s="74" t="s">
        <v>478</v>
      </c>
      <c r="B97" s="31" t="s">
        <v>479</v>
      </c>
      <c r="C97" s="31" t="s">
        <v>480</v>
      </c>
      <c r="D97" s="14">
        <v>1056</v>
      </c>
      <c r="E97" s="15">
        <v>17.57</v>
      </c>
      <c r="F97" s="16">
        <v>3.5000000000000001E-3</v>
      </c>
      <c r="G97" s="75"/>
    </row>
    <row r="98" spans="1:7" x14ac:dyDescent="0.25">
      <c r="A98" s="74" t="s">
        <v>1253</v>
      </c>
      <c r="B98" s="31" t="s">
        <v>1254</v>
      </c>
      <c r="C98" s="31" t="s">
        <v>459</v>
      </c>
      <c r="D98" s="14">
        <v>5802</v>
      </c>
      <c r="E98" s="15">
        <v>17.53</v>
      </c>
      <c r="F98" s="16">
        <v>3.5000000000000001E-3</v>
      </c>
      <c r="G98" s="75"/>
    </row>
    <row r="99" spans="1:7" x14ac:dyDescent="0.25">
      <c r="A99" s="74" t="s">
        <v>499</v>
      </c>
      <c r="B99" s="31" t="s">
        <v>500</v>
      </c>
      <c r="C99" s="31" t="s">
        <v>501</v>
      </c>
      <c r="D99" s="14">
        <v>1180</v>
      </c>
      <c r="E99" s="15">
        <v>17.52</v>
      </c>
      <c r="F99" s="16">
        <v>3.5000000000000001E-3</v>
      </c>
      <c r="G99" s="75"/>
    </row>
    <row r="100" spans="1:7" x14ac:dyDescent="0.25">
      <c r="A100" s="74" t="s">
        <v>618</v>
      </c>
      <c r="B100" s="31" t="s">
        <v>619</v>
      </c>
      <c r="C100" s="31" t="s">
        <v>465</v>
      </c>
      <c r="D100" s="14">
        <v>43888</v>
      </c>
      <c r="E100" s="15">
        <v>17.420000000000002</v>
      </c>
      <c r="F100" s="16">
        <v>3.5000000000000001E-3</v>
      </c>
      <c r="G100" s="75"/>
    </row>
    <row r="101" spans="1:7" x14ac:dyDescent="0.25">
      <c r="A101" s="74" t="s">
        <v>700</v>
      </c>
      <c r="B101" s="31" t="s">
        <v>701</v>
      </c>
      <c r="C101" s="31" t="s">
        <v>480</v>
      </c>
      <c r="D101" s="14">
        <v>1164</v>
      </c>
      <c r="E101" s="15">
        <v>17.41</v>
      </c>
      <c r="F101" s="16">
        <v>3.5000000000000001E-3</v>
      </c>
      <c r="G101" s="75"/>
    </row>
    <row r="102" spans="1:7" x14ac:dyDescent="0.25">
      <c r="A102" s="74" t="s">
        <v>563</v>
      </c>
      <c r="B102" s="31" t="s">
        <v>564</v>
      </c>
      <c r="C102" s="31" t="s">
        <v>2028</v>
      </c>
      <c r="D102" s="14">
        <v>100</v>
      </c>
      <c r="E102" s="15">
        <v>17.38</v>
      </c>
      <c r="F102" s="16">
        <v>3.5000000000000001E-3</v>
      </c>
      <c r="G102" s="75"/>
    </row>
    <row r="103" spans="1:7" x14ac:dyDescent="0.25">
      <c r="A103" s="74" t="s">
        <v>468</v>
      </c>
      <c r="B103" s="31" t="s">
        <v>469</v>
      </c>
      <c r="C103" s="31" t="s">
        <v>465</v>
      </c>
      <c r="D103" s="14">
        <v>1831</v>
      </c>
      <c r="E103" s="15">
        <v>17.13</v>
      </c>
      <c r="F103" s="16">
        <v>3.3999999999999998E-3</v>
      </c>
      <c r="G103" s="75"/>
    </row>
    <row r="104" spans="1:7" x14ac:dyDescent="0.25">
      <c r="A104" s="74" t="s">
        <v>1017</v>
      </c>
      <c r="B104" s="31" t="s">
        <v>1018</v>
      </c>
      <c r="C104" s="31" t="s">
        <v>2032</v>
      </c>
      <c r="D104" s="14">
        <v>1009</v>
      </c>
      <c r="E104" s="15">
        <v>17.059999999999999</v>
      </c>
      <c r="F104" s="16">
        <v>3.3999999999999998E-3</v>
      </c>
      <c r="G104" s="75"/>
    </row>
    <row r="105" spans="1:7" x14ac:dyDescent="0.25">
      <c r="A105" s="74" t="s">
        <v>726</v>
      </c>
      <c r="B105" s="31" t="s">
        <v>727</v>
      </c>
      <c r="C105" s="31" t="s">
        <v>728</v>
      </c>
      <c r="D105" s="14">
        <v>10265</v>
      </c>
      <c r="E105" s="15">
        <v>16.82</v>
      </c>
      <c r="F105" s="16">
        <v>3.3E-3</v>
      </c>
      <c r="G105" s="75"/>
    </row>
    <row r="106" spans="1:7" x14ac:dyDescent="0.25">
      <c r="A106" s="74" t="s">
        <v>1255</v>
      </c>
      <c r="B106" s="31" t="s">
        <v>1256</v>
      </c>
      <c r="C106" s="31" t="s">
        <v>677</v>
      </c>
      <c r="D106" s="14">
        <v>419</v>
      </c>
      <c r="E106" s="15">
        <v>16.77</v>
      </c>
      <c r="F106" s="16">
        <v>3.3E-3</v>
      </c>
      <c r="G106" s="75"/>
    </row>
    <row r="107" spans="1:7" x14ac:dyDescent="0.25">
      <c r="A107" s="74" t="s">
        <v>659</v>
      </c>
      <c r="B107" s="31" t="s">
        <v>660</v>
      </c>
      <c r="C107" s="31" t="s">
        <v>615</v>
      </c>
      <c r="D107" s="14">
        <v>853</v>
      </c>
      <c r="E107" s="15">
        <v>16.73</v>
      </c>
      <c r="F107" s="16">
        <v>3.3E-3</v>
      </c>
      <c r="G107" s="75"/>
    </row>
    <row r="108" spans="1:7" x14ac:dyDescent="0.25">
      <c r="A108" s="74" t="s">
        <v>769</v>
      </c>
      <c r="B108" s="31" t="s">
        <v>770</v>
      </c>
      <c r="C108" s="31" t="s">
        <v>2033</v>
      </c>
      <c r="D108" s="14">
        <v>748</v>
      </c>
      <c r="E108" s="15">
        <v>16.14</v>
      </c>
      <c r="F108" s="16">
        <v>3.2000000000000002E-3</v>
      </c>
      <c r="G108" s="75"/>
    </row>
    <row r="109" spans="1:7" x14ac:dyDescent="0.25">
      <c r="A109" s="74" t="s">
        <v>667</v>
      </c>
      <c r="B109" s="31" t="s">
        <v>668</v>
      </c>
      <c r="C109" s="31" t="s">
        <v>450</v>
      </c>
      <c r="D109" s="14">
        <v>13104</v>
      </c>
      <c r="E109" s="15">
        <v>16.12</v>
      </c>
      <c r="F109" s="16">
        <v>3.2000000000000002E-3</v>
      </c>
      <c r="G109" s="75"/>
    </row>
    <row r="110" spans="1:7" x14ac:dyDescent="0.25">
      <c r="A110" s="74" t="s">
        <v>1257</v>
      </c>
      <c r="B110" s="31" t="s">
        <v>1258</v>
      </c>
      <c r="C110" s="31" t="s">
        <v>450</v>
      </c>
      <c r="D110" s="14">
        <v>624</v>
      </c>
      <c r="E110" s="15">
        <v>16.03</v>
      </c>
      <c r="F110" s="16">
        <v>3.2000000000000002E-3</v>
      </c>
      <c r="G110" s="75"/>
    </row>
    <row r="111" spans="1:7" x14ac:dyDescent="0.25">
      <c r="A111" s="74" t="s">
        <v>777</v>
      </c>
      <c r="B111" s="31" t="s">
        <v>778</v>
      </c>
      <c r="C111" s="31" t="s">
        <v>1429</v>
      </c>
      <c r="D111" s="14">
        <v>359</v>
      </c>
      <c r="E111" s="15">
        <v>15.8</v>
      </c>
      <c r="F111" s="16">
        <v>3.0999999999999999E-3</v>
      </c>
      <c r="G111" s="75"/>
    </row>
    <row r="112" spans="1:7" x14ac:dyDescent="0.25">
      <c r="A112" s="74" t="s">
        <v>436</v>
      </c>
      <c r="B112" s="31" t="s">
        <v>437</v>
      </c>
      <c r="C112" s="31" t="s">
        <v>2024</v>
      </c>
      <c r="D112" s="14">
        <v>2021</v>
      </c>
      <c r="E112" s="15">
        <v>15.65</v>
      </c>
      <c r="F112" s="16">
        <v>3.0999999999999999E-3</v>
      </c>
      <c r="G112" s="75"/>
    </row>
    <row r="113" spans="1:7" x14ac:dyDescent="0.25">
      <c r="A113" s="74" t="s">
        <v>446</v>
      </c>
      <c r="B113" s="31" t="s">
        <v>447</v>
      </c>
      <c r="C113" s="31" t="s">
        <v>2026</v>
      </c>
      <c r="D113" s="14">
        <v>774</v>
      </c>
      <c r="E113" s="15">
        <v>15.59</v>
      </c>
      <c r="F113" s="16">
        <v>3.0999999999999999E-3</v>
      </c>
      <c r="G113" s="75"/>
    </row>
    <row r="114" spans="1:7" x14ac:dyDescent="0.25">
      <c r="A114" s="74" t="s">
        <v>1259</v>
      </c>
      <c r="B114" s="31" t="s">
        <v>1260</v>
      </c>
      <c r="C114" s="31" t="s">
        <v>2033</v>
      </c>
      <c r="D114" s="14">
        <v>8206</v>
      </c>
      <c r="E114" s="15">
        <v>15.55</v>
      </c>
      <c r="F114" s="16">
        <v>3.0999999999999999E-3</v>
      </c>
      <c r="G114" s="75"/>
    </row>
    <row r="115" spans="1:7" x14ac:dyDescent="0.25">
      <c r="A115" s="74" t="s">
        <v>460</v>
      </c>
      <c r="B115" s="31" t="s">
        <v>461</v>
      </c>
      <c r="C115" s="31" t="s">
        <v>462</v>
      </c>
      <c r="D115" s="14">
        <v>12705</v>
      </c>
      <c r="E115" s="15">
        <v>15.47</v>
      </c>
      <c r="F115" s="16">
        <v>3.0999999999999999E-3</v>
      </c>
      <c r="G115" s="75"/>
    </row>
    <row r="116" spans="1:7" x14ac:dyDescent="0.25">
      <c r="A116" s="74" t="s">
        <v>720</v>
      </c>
      <c r="B116" s="31" t="s">
        <v>721</v>
      </c>
      <c r="C116" s="31" t="s">
        <v>494</v>
      </c>
      <c r="D116" s="14">
        <v>1643</v>
      </c>
      <c r="E116" s="15">
        <v>15.44</v>
      </c>
      <c r="F116" s="16">
        <v>3.0999999999999999E-3</v>
      </c>
      <c r="G116" s="75"/>
    </row>
    <row r="117" spans="1:7" x14ac:dyDescent="0.25">
      <c r="A117" s="74" t="s">
        <v>531</v>
      </c>
      <c r="B117" s="31" t="s">
        <v>532</v>
      </c>
      <c r="C117" s="31" t="s">
        <v>450</v>
      </c>
      <c r="D117" s="14">
        <v>4271</v>
      </c>
      <c r="E117" s="15">
        <v>15.33</v>
      </c>
      <c r="F117" s="16">
        <v>3.0999999999999999E-3</v>
      </c>
      <c r="G117" s="75"/>
    </row>
    <row r="118" spans="1:7" x14ac:dyDescent="0.25">
      <c r="A118" s="74" t="s">
        <v>665</v>
      </c>
      <c r="B118" s="31" t="s">
        <v>666</v>
      </c>
      <c r="C118" s="31" t="s">
        <v>2028</v>
      </c>
      <c r="D118" s="14">
        <v>1008</v>
      </c>
      <c r="E118" s="15">
        <v>15.01</v>
      </c>
      <c r="F118" s="16">
        <v>3.0000000000000001E-3</v>
      </c>
      <c r="G118" s="75"/>
    </row>
    <row r="119" spans="1:7" x14ac:dyDescent="0.25">
      <c r="A119" s="74" t="s">
        <v>553</v>
      </c>
      <c r="B119" s="31" t="s">
        <v>554</v>
      </c>
      <c r="C119" s="31" t="s">
        <v>1429</v>
      </c>
      <c r="D119" s="14">
        <v>1453</v>
      </c>
      <c r="E119" s="15">
        <v>14.79</v>
      </c>
      <c r="F119" s="16">
        <v>2.8999999999999998E-3</v>
      </c>
      <c r="G119" s="75"/>
    </row>
    <row r="120" spans="1:7" x14ac:dyDescent="0.25">
      <c r="A120" s="74" t="s">
        <v>1109</v>
      </c>
      <c r="B120" s="31" t="s">
        <v>1110</v>
      </c>
      <c r="C120" s="31" t="s">
        <v>494</v>
      </c>
      <c r="D120" s="14">
        <v>1336</v>
      </c>
      <c r="E120" s="15">
        <v>14.7</v>
      </c>
      <c r="F120" s="16">
        <v>2.8999999999999998E-3</v>
      </c>
      <c r="G120" s="75"/>
    </row>
    <row r="121" spans="1:7" x14ac:dyDescent="0.25">
      <c r="A121" s="74" t="s">
        <v>690</v>
      </c>
      <c r="B121" s="31" t="s">
        <v>691</v>
      </c>
      <c r="C121" s="31" t="s">
        <v>1429</v>
      </c>
      <c r="D121" s="14">
        <v>342</v>
      </c>
      <c r="E121" s="15">
        <v>14.69</v>
      </c>
      <c r="F121" s="16">
        <v>2.8999999999999998E-3</v>
      </c>
      <c r="G121" s="75"/>
    </row>
    <row r="122" spans="1:7" x14ac:dyDescent="0.25">
      <c r="A122" s="74" t="s">
        <v>807</v>
      </c>
      <c r="B122" s="31" t="s">
        <v>808</v>
      </c>
      <c r="C122" s="31" t="s">
        <v>558</v>
      </c>
      <c r="D122" s="14">
        <v>612</v>
      </c>
      <c r="E122" s="15">
        <v>14.47</v>
      </c>
      <c r="F122" s="16">
        <v>2.8999999999999998E-3</v>
      </c>
      <c r="G122" s="75"/>
    </row>
    <row r="123" spans="1:7" x14ac:dyDescent="0.25">
      <c r="A123" s="74" t="s">
        <v>1048</v>
      </c>
      <c r="B123" s="31" t="s">
        <v>1049</v>
      </c>
      <c r="C123" s="31" t="s">
        <v>2030</v>
      </c>
      <c r="D123" s="14">
        <v>527</v>
      </c>
      <c r="E123" s="15">
        <v>14.45</v>
      </c>
      <c r="F123" s="16">
        <v>2.8999999999999998E-3</v>
      </c>
      <c r="G123" s="75"/>
    </row>
    <row r="124" spans="1:7" x14ac:dyDescent="0.25">
      <c r="A124" s="74" t="s">
        <v>1261</v>
      </c>
      <c r="B124" s="31" t="s">
        <v>1262</v>
      </c>
      <c r="C124" s="31" t="s">
        <v>677</v>
      </c>
      <c r="D124" s="14">
        <v>4768</v>
      </c>
      <c r="E124" s="15">
        <v>14.4</v>
      </c>
      <c r="F124" s="16">
        <v>2.8999999999999998E-3</v>
      </c>
      <c r="G124" s="75"/>
    </row>
    <row r="125" spans="1:7" x14ac:dyDescent="0.25">
      <c r="A125" s="74" t="s">
        <v>485</v>
      </c>
      <c r="B125" s="31" t="s">
        <v>486</v>
      </c>
      <c r="C125" s="31" t="s">
        <v>487</v>
      </c>
      <c r="D125" s="14">
        <v>2615</v>
      </c>
      <c r="E125" s="15">
        <v>14.07</v>
      </c>
      <c r="F125" s="16">
        <v>2.8E-3</v>
      </c>
      <c r="G125" s="75"/>
    </row>
    <row r="126" spans="1:7" x14ac:dyDescent="0.25">
      <c r="A126" s="74" t="s">
        <v>561</v>
      </c>
      <c r="B126" s="31" t="s">
        <v>562</v>
      </c>
      <c r="C126" s="31" t="s">
        <v>487</v>
      </c>
      <c r="D126" s="14">
        <v>1238</v>
      </c>
      <c r="E126" s="15">
        <v>13.88</v>
      </c>
      <c r="F126" s="16">
        <v>2.8E-3</v>
      </c>
      <c r="G126" s="75"/>
    </row>
    <row r="127" spans="1:7" x14ac:dyDescent="0.25">
      <c r="A127" s="74" t="s">
        <v>598</v>
      </c>
      <c r="B127" s="31" t="s">
        <v>599</v>
      </c>
      <c r="C127" s="31" t="s">
        <v>480</v>
      </c>
      <c r="D127" s="14">
        <v>1801</v>
      </c>
      <c r="E127" s="15">
        <v>13.83</v>
      </c>
      <c r="F127" s="16">
        <v>2.8E-3</v>
      </c>
      <c r="G127" s="75"/>
    </row>
    <row r="128" spans="1:7" x14ac:dyDescent="0.25">
      <c r="A128" s="74" t="s">
        <v>1263</v>
      </c>
      <c r="B128" s="31" t="s">
        <v>1264</v>
      </c>
      <c r="C128" s="31" t="s">
        <v>494</v>
      </c>
      <c r="D128" s="14">
        <v>1224</v>
      </c>
      <c r="E128" s="15">
        <v>13.78</v>
      </c>
      <c r="F128" s="16">
        <v>2.7000000000000001E-3</v>
      </c>
      <c r="G128" s="75"/>
    </row>
    <row r="129" spans="1:7" x14ac:dyDescent="0.25">
      <c r="A129" s="74" t="s">
        <v>749</v>
      </c>
      <c r="B129" s="31" t="s">
        <v>750</v>
      </c>
      <c r="C129" s="31" t="s">
        <v>2034</v>
      </c>
      <c r="D129" s="14">
        <v>1699</v>
      </c>
      <c r="E129" s="15">
        <v>13.59</v>
      </c>
      <c r="F129" s="16">
        <v>2.7000000000000001E-3</v>
      </c>
      <c r="G129" s="75"/>
    </row>
    <row r="130" spans="1:7" x14ac:dyDescent="0.25">
      <c r="A130" s="74" t="s">
        <v>1071</v>
      </c>
      <c r="B130" s="31" t="s">
        <v>1072</v>
      </c>
      <c r="C130" s="31" t="s">
        <v>2032</v>
      </c>
      <c r="D130" s="14">
        <v>366</v>
      </c>
      <c r="E130" s="15">
        <v>13.37</v>
      </c>
      <c r="F130" s="16">
        <v>2.7000000000000001E-3</v>
      </c>
      <c r="G130" s="75"/>
    </row>
    <row r="131" spans="1:7" x14ac:dyDescent="0.25">
      <c r="A131" s="74" t="s">
        <v>1265</v>
      </c>
      <c r="B131" s="31" t="s">
        <v>1266</v>
      </c>
      <c r="C131" s="31" t="s">
        <v>2025</v>
      </c>
      <c r="D131" s="14">
        <v>1483</v>
      </c>
      <c r="E131" s="15">
        <v>13.34</v>
      </c>
      <c r="F131" s="16">
        <v>2.7000000000000001E-3</v>
      </c>
      <c r="G131" s="75"/>
    </row>
    <row r="132" spans="1:7" x14ac:dyDescent="0.25">
      <c r="A132" s="74" t="s">
        <v>594</v>
      </c>
      <c r="B132" s="31" t="s">
        <v>595</v>
      </c>
      <c r="C132" s="31" t="s">
        <v>450</v>
      </c>
      <c r="D132" s="14">
        <v>8372</v>
      </c>
      <c r="E132" s="15">
        <v>13.32</v>
      </c>
      <c r="F132" s="16">
        <v>2.7000000000000001E-3</v>
      </c>
      <c r="G132" s="75"/>
    </row>
    <row r="133" spans="1:7" x14ac:dyDescent="0.25">
      <c r="A133" s="74" t="s">
        <v>793</v>
      </c>
      <c r="B133" s="31" t="s">
        <v>794</v>
      </c>
      <c r="C133" s="31" t="s">
        <v>1429</v>
      </c>
      <c r="D133" s="14">
        <v>75</v>
      </c>
      <c r="E133" s="15">
        <v>13.28</v>
      </c>
      <c r="F133" s="16">
        <v>2.5999999999999999E-3</v>
      </c>
      <c r="G133" s="75"/>
    </row>
    <row r="134" spans="1:7" x14ac:dyDescent="0.25">
      <c r="A134" s="74" t="s">
        <v>1267</v>
      </c>
      <c r="B134" s="31" t="s">
        <v>1268</v>
      </c>
      <c r="C134" s="31" t="s">
        <v>615</v>
      </c>
      <c r="D134" s="14">
        <v>1917</v>
      </c>
      <c r="E134" s="15">
        <v>13.25</v>
      </c>
      <c r="F134" s="16">
        <v>2.5999999999999999E-3</v>
      </c>
      <c r="G134" s="75"/>
    </row>
    <row r="135" spans="1:7" x14ac:dyDescent="0.25">
      <c r="A135" s="74" t="s">
        <v>729</v>
      </c>
      <c r="B135" s="31" t="s">
        <v>730</v>
      </c>
      <c r="C135" s="31" t="s">
        <v>2028</v>
      </c>
      <c r="D135" s="14">
        <v>1685</v>
      </c>
      <c r="E135" s="15">
        <v>13.1</v>
      </c>
      <c r="F135" s="16">
        <v>2.5999999999999999E-3</v>
      </c>
      <c r="G135" s="75"/>
    </row>
    <row r="136" spans="1:7" x14ac:dyDescent="0.25">
      <c r="A136" s="74" t="s">
        <v>596</v>
      </c>
      <c r="B136" s="31" t="s">
        <v>597</v>
      </c>
      <c r="C136" s="31" t="s">
        <v>573</v>
      </c>
      <c r="D136" s="14">
        <v>287</v>
      </c>
      <c r="E136" s="15">
        <v>12.96</v>
      </c>
      <c r="F136" s="16">
        <v>2.5999999999999999E-3</v>
      </c>
      <c r="G136" s="75"/>
    </row>
    <row r="137" spans="1:7" x14ac:dyDescent="0.25">
      <c r="A137" s="74" t="s">
        <v>1103</v>
      </c>
      <c r="B137" s="31" t="s">
        <v>1104</v>
      </c>
      <c r="C137" s="31" t="s">
        <v>2028</v>
      </c>
      <c r="D137" s="14">
        <v>2887</v>
      </c>
      <c r="E137" s="15">
        <v>12.91</v>
      </c>
      <c r="F137" s="16">
        <v>2.5999999999999999E-3</v>
      </c>
      <c r="G137" s="75"/>
    </row>
    <row r="138" spans="1:7" x14ac:dyDescent="0.25">
      <c r="A138" s="74" t="s">
        <v>755</v>
      </c>
      <c r="B138" s="31" t="s">
        <v>756</v>
      </c>
      <c r="C138" s="31" t="s">
        <v>480</v>
      </c>
      <c r="D138" s="14">
        <v>524</v>
      </c>
      <c r="E138" s="15">
        <v>12.74</v>
      </c>
      <c r="F138" s="16">
        <v>2.5000000000000001E-3</v>
      </c>
      <c r="G138" s="75"/>
    </row>
    <row r="139" spans="1:7" x14ac:dyDescent="0.25">
      <c r="A139" s="74" t="s">
        <v>444</v>
      </c>
      <c r="B139" s="31" t="s">
        <v>445</v>
      </c>
      <c r="C139" s="31" t="s">
        <v>462</v>
      </c>
      <c r="D139" s="14">
        <v>3138</v>
      </c>
      <c r="E139" s="15">
        <v>12.66</v>
      </c>
      <c r="F139" s="16">
        <v>2.5000000000000001E-3</v>
      </c>
      <c r="G139" s="75"/>
    </row>
    <row r="140" spans="1:7" x14ac:dyDescent="0.25">
      <c r="A140" s="74" t="s">
        <v>1052</v>
      </c>
      <c r="B140" s="31" t="s">
        <v>1053</v>
      </c>
      <c r="C140" s="31" t="s">
        <v>2025</v>
      </c>
      <c r="D140" s="14">
        <v>1331</v>
      </c>
      <c r="E140" s="15">
        <v>12.41</v>
      </c>
      <c r="F140" s="16">
        <v>2.5000000000000001E-3</v>
      </c>
      <c r="G140" s="75"/>
    </row>
    <row r="141" spans="1:7" x14ac:dyDescent="0.25">
      <c r="A141" s="74" t="s">
        <v>1131</v>
      </c>
      <c r="B141" s="31" t="s">
        <v>1132</v>
      </c>
      <c r="C141" s="31" t="s">
        <v>2033</v>
      </c>
      <c r="D141" s="14">
        <v>31</v>
      </c>
      <c r="E141" s="15">
        <v>12.3</v>
      </c>
      <c r="F141" s="16">
        <v>2.3999999999999998E-3</v>
      </c>
      <c r="G141" s="75"/>
    </row>
    <row r="142" spans="1:7" x14ac:dyDescent="0.25">
      <c r="A142" s="74" t="s">
        <v>783</v>
      </c>
      <c r="B142" s="31" t="s">
        <v>784</v>
      </c>
      <c r="C142" s="31" t="s">
        <v>626</v>
      </c>
      <c r="D142" s="14">
        <v>2430</v>
      </c>
      <c r="E142" s="15">
        <v>12.23</v>
      </c>
      <c r="F142" s="16">
        <v>2.3999999999999998E-3</v>
      </c>
      <c r="G142" s="75"/>
    </row>
    <row r="143" spans="1:7" x14ac:dyDescent="0.25">
      <c r="A143" s="74" t="s">
        <v>1069</v>
      </c>
      <c r="B143" s="31" t="s">
        <v>1070</v>
      </c>
      <c r="C143" s="31" t="s">
        <v>728</v>
      </c>
      <c r="D143" s="14">
        <v>5052</v>
      </c>
      <c r="E143" s="15">
        <v>12.04</v>
      </c>
      <c r="F143" s="16">
        <v>2.3999999999999998E-3</v>
      </c>
      <c r="G143" s="75"/>
    </row>
    <row r="144" spans="1:7" x14ac:dyDescent="0.25">
      <c r="A144" s="74" t="s">
        <v>1269</v>
      </c>
      <c r="B144" s="31" t="s">
        <v>1270</v>
      </c>
      <c r="C144" s="31" t="s">
        <v>573</v>
      </c>
      <c r="D144" s="14">
        <v>459</v>
      </c>
      <c r="E144" s="15">
        <v>11.98</v>
      </c>
      <c r="F144" s="16">
        <v>2.3999999999999998E-3</v>
      </c>
      <c r="G144" s="75"/>
    </row>
    <row r="145" spans="1:7" x14ac:dyDescent="0.25">
      <c r="A145" s="74" t="s">
        <v>1181</v>
      </c>
      <c r="B145" s="31" t="s">
        <v>1182</v>
      </c>
      <c r="C145" s="31" t="s">
        <v>615</v>
      </c>
      <c r="D145" s="14">
        <v>1169</v>
      </c>
      <c r="E145" s="15">
        <v>11.92</v>
      </c>
      <c r="F145" s="16">
        <v>2.3999999999999998E-3</v>
      </c>
      <c r="G145" s="75"/>
    </row>
    <row r="146" spans="1:7" x14ac:dyDescent="0.25">
      <c r="A146" s="74" t="s">
        <v>586</v>
      </c>
      <c r="B146" s="31" t="s">
        <v>587</v>
      </c>
      <c r="C146" s="31" t="s">
        <v>2031</v>
      </c>
      <c r="D146" s="14">
        <v>1548</v>
      </c>
      <c r="E146" s="15">
        <v>11.91</v>
      </c>
      <c r="F146" s="16">
        <v>2.3999999999999998E-3</v>
      </c>
      <c r="G146" s="75"/>
    </row>
    <row r="147" spans="1:7" x14ac:dyDescent="0.25">
      <c r="A147" s="74" t="s">
        <v>1220</v>
      </c>
      <c r="B147" s="31" t="s">
        <v>1221</v>
      </c>
      <c r="C147" s="31" t="s">
        <v>1222</v>
      </c>
      <c r="D147" s="14">
        <v>1713</v>
      </c>
      <c r="E147" s="15">
        <v>11.89</v>
      </c>
      <c r="F147" s="16">
        <v>2.3999999999999998E-3</v>
      </c>
      <c r="G147" s="75"/>
    </row>
    <row r="148" spans="1:7" x14ac:dyDescent="0.25">
      <c r="A148" s="74" t="s">
        <v>1157</v>
      </c>
      <c r="B148" s="31" t="s">
        <v>1158</v>
      </c>
      <c r="C148" s="31" t="s">
        <v>558</v>
      </c>
      <c r="D148" s="14">
        <v>656</v>
      </c>
      <c r="E148" s="15">
        <v>11.81</v>
      </c>
      <c r="F148" s="16">
        <v>2.3E-3</v>
      </c>
      <c r="G148" s="75"/>
    </row>
    <row r="149" spans="1:7" x14ac:dyDescent="0.25">
      <c r="A149" s="74" t="s">
        <v>637</v>
      </c>
      <c r="B149" s="31" t="s">
        <v>638</v>
      </c>
      <c r="C149" s="31" t="s">
        <v>2027</v>
      </c>
      <c r="D149" s="14">
        <v>329</v>
      </c>
      <c r="E149" s="15">
        <v>11.8</v>
      </c>
      <c r="F149" s="16">
        <v>2.3E-3</v>
      </c>
      <c r="G149" s="75"/>
    </row>
    <row r="150" spans="1:7" x14ac:dyDescent="0.25">
      <c r="A150" s="74" t="s">
        <v>775</v>
      </c>
      <c r="B150" s="31" t="s">
        <v>776</v>
      </c>
      <c r="C150" s="31" t="s">
        <v>459</v>
      </c>
      <c r="D150" s="14">
        <v>2375</v>
      </c>
      <c r="E150" s="15">
        <v>11.68</v>
      </c>
      <c r="F150" s="16">
        <v>2.3E-3</v>
      </c>
      <c r="G150" s="75"/>
    </row>
    <row r="151" spans="1:7" x14ac:dyDescent="0.25">
      <c r="A151" s="74" t="s">
        <v>1271</v>
      </c>
      <c r="B151" s="31" t="s">
        <v>1272</v>
      </c>
      <c r="C151" s="31" t="s">
        <v>558</v>
      </c>
      <c r="D151" s="14">
        <v>328</v>
      </c>
      <c r="E151" s="15">
        <v>11.59</v>
      </c>
      <c r="F151" s="16">
        <v>2.3E-3</v>
      </c>
      <c r="G151" s="75"/>
    </row>
    <row r="152" spans="1:7" x14ac:dyDescent="0.25">
      <c r="A152" s="74" t="s">
        <v>1273</v>
      </c>
      <c r="B152" s="31" t="s">
        <v>1274</v>
      </c>
      <c r="C152" s="31" t="s">
        <v>2030</v>
      </c>
      <c r="D152" s="14">
        <v>301</v>
      </c>
      <c r="E152" s="15">
        <v>11.39</v>
      </c>
      <c r="F152" s="16">
        <v>2.3E-3</v>
      </c>
      <c r="G152" s="75"/>
    </row>
    <row r="153" spans="1:7" x14ac:dyDescent="0.25">
      <c r="A153" s="74" t="s">
        <v>1275</v>
      </c>
      <c r="B153" s="31" t="s">
        <v>1276</v>
      </c>
      <c r="C153" s="31" t="s">
        <v>450</v>
      </c>
      <c r="D153" s="14">
        <v>340</v>
      </c>
      <c r="E153" s="15">
        <v>11.21</v>
      </c>
      <c r="F153" s="16">
        <v>2.2000000000000001E-3</v>
      </c>
      <c r="G153" s="75"/>
    </row>
    <row r="154" spans="1:7" x14ac:dyDescent="0.25">
      <c r="A154" s="74" t="s">
        <v>1038</v>
      </c>
      <c r="B154" s="31" t="s">
        <v>1039</v>
      </c>
      <c r="C154" s="31" t="s">
        <v>558</v>
      </c>
      <c r="D154" s="14">
        <v>574</v>
      </c>
      <c r="E154" s="15">
        <v>11.15</v>
      </c>
      <c r="F154" s="16">
        <v>2.2000000000000001E-3</v>
      </c>
      <c r="G154" s="75"/>
    </row>
    <row r="155" spans="1:7" x14ac:dyDescent="0.25">
      <c r="A155" s="74" t="s">
        <v>1027</v>
      </c>
      <c r="B155" s="31" t="s">
        <v>1028</v>
      </c>
      <c r="C155" s="31" t="s">
        <v>462</v>
      </c>
      <c r="D155" s="14">
        <v>3579</v>
      </c>
      <c r="E155" s="15">
        <v>11.1</v>
      </c>
      <c r="F155" s="16">
        <v>2.2000000000000001E-3</v>
      </c>
      <c r="G155" s="75"/>
    </row>
    <row r="156" spans="1:7" x14ac:dyDescent="0.25">
      <c r="A156" s="74" t="s">
        <v>523</v>
      </c>
      <c r="B156" s="31" t="s">
        <v>524</v>
      </c>
      <c r="C156" s="31" t="s">
        <v>443</v>
      </c>
      <c r="D156" s="14">
        <v>113586</v>
      </c>
      <c r="E156" s="15">
        <v>10.96</v>
      </c>
      <c r="F156" s="16">
        <v>2.2000000000000001E-3</v>
      </c>
      <c r="G156" s="75"/>
    </row>
    <row r="157" spans="1:7" x14ac:dyDescent="0.25">
      <c r="A157" s="74" t="s">
        <v>527</v>
      </c>
      <c r="B157" s="31" t="s">
        <v>528</v>
      </c>
      <c r="C157" s="31" t="s">
        <v>2030</v>
      </c>
      <c r="D157" s="14">
        <v>409</v>
      </c>
      <c r="E157" s="15">
        <v>10.96</v>
      </c>
      <c r="F157" s="16">
        <v>2.2000000000000001E-3</v>
      </c>
      <c r="G157" s="75"/>
    </row>
    <row r="158" spans="1:7" x14ac:dyDescent="0.25">
      <c r="A158" s="74" t="s">
        <v>1277</v>
      </c>
      <c r="B158" s="31" t="s">
        <v>1278</v>
      </c>
      <c r="C158" s="31" t="s">
        <v>615</v>
      </c>
      <c r="D158" s="14">
        <v>1019</v>
      </c>
      <c r="E158" s="15">
        <v>10.87</v>
      </c>
      <c r="F158" s="16">
        <v>2.2000000000000001E-3</v>
      </c>
      <c r="G158" s="75"/>
    </row>
    <row r="159" spans="1:7" x14ac:dyDescent="0.25">
      <c r="A159" s="74" t="s">
        <v>785</v>
      </c>
      <c r="B159" s="31" t="s">
        <v>786</v>
      </c>
      <c r="C159" s="31" t="s">
        <v>2026</v>
      </c>
      <c r="D159" s="14">
        <v>5896</v>
      </c>
      <c r="E159" s="15">
        <v>10.79</v>
      </c>
      <c r="F159" s="16">
        <v>2.0999999999999999E-3</v>
      </c>
      <c r="G159" s="75"/>
    </row>
    <row r="160" spans="1:7" x14ac:dyDescent="0.25">
      <c r="A160" s="74" t="s">
        <v>1279</v>
      </c>
      <c r="B160" s="31" t="s">
        <v>1280</v>
      </c>
      <c r="C160" s="31" t="s">
        <v>2033</v>
      </c>
      <c r="D160" s="14">
        <v>555</v>
      </c>
      <c r="E160" s="15">
        <v>10.76</v>
      </c>
      <c r="F160" s="16">
        <v>2.0999999999999999E-3</v>
      </c>
      <c r="G160" s="75"/>
    </row>
    <row r="161" spans="1:7" x14ac:dyDescent="0.25">
      <c r="A161" s="74" t="s">
        <v>1099</v>
      </c>
      <c r="B161" s="31" t="s">
        <v>1100</v>
      </c>
      <c r="C161" s="31" t="s">
        <v>2028</v>
      </c>
      <c r="D161" s="14">
        <v>332</v>
      </c>
      <c r="E161" s="15">
        <v>10.65</v>
      </c>
      <c r="F161" s="16">
        <v>2.0999999999999999E-3</v>
      </c>
      <c r="G161" s="75"/>
    </row>
    <row r="162" spans="1:7" x14ac:dyDescent="0.25">
      <c r="A162" s="74" t="s">
        <v>678</v>
      </c>
      <c r="B162" s="31" t="s">
        <v>679</v>
      </c>
      <c r="C162" s="31" t="s">
        <v>450</v>
      </c>
      <c r="D162" s="14">
        <v>9892</v>
      </c>
      <c r="E162" s="15">
        <v>10.65</v>
      </c>
      <c r="F162" s="16">
        <v>2.0999999999999999E-3</v>
      </c>
      <c r="G162" s="75"/>
    </row>
    <row r="163" spans="1:7" x14ac:dyDescent="0.25">
      <c r="A163" s="74" t="s">
        <v>1281</v>
      </c>
      <c r="B163" s="31" t="s">
        <v>1282</v>
      </c>
      <c r="C163" s="31" t="s">
        <v>459</v>
      </c>
      <c r="D163" s="14">
        <v>38288</v>
      </c>
      <c r="E163" s="15">
        <v>10.64</v>
      </c>
      <c r="F163" s="16">
        <v>2.0999999999999999E-3</v>
      </c>
      <c r="G163" s="75"/>
    </row>
    <row r="164" spans="1:7" x14ac:dyDescent="0.25">
      <c r="A164" s="74" t="s">
        <v>809</v>
      </c>
      <c r="B164" s="31" t="s">
        <v>810</v>
      </c>
      <c r="C164" s="31" t="s">
        <v>2030</v>
      </c>
      <c r="D164" s="14">
        <v>429</v>
      </c>
      <c r="E164" s="15">
        <v>10.53</v>
      </c>
      <c r="F164" s="16">
        <v>2.0999999999999999E-3</v>
      </c>
      <c r="G164" s="75"/>
    </row>
    <row r="165" spans="1:7" x14ac:dyDescent="0.25">
      <c r="A165" s="74" t="s">
        <v>787</v>
      </c>
      <c r="B165" s="31" t="s">
        <v>788</v>
      </c>
      <c r="C165" s="31" t="s">
        <v>626</v>
      </c>
      <c r="D165" s="14">
        <v>3983</v>
      </c>
      <c r="E165" s="15">
        <v>10.32</v>
      </c>
      <c r="F165" s="16">
        <v>2.0999999999999999E-3</v>
      </c>
      <c r="G165" s="75"/>
    </row>
    <row r="166" spans="1:7" x14ac:dyDescent="0.25">
      <c r="A166" s="74" t="s">
        <v>1030</v>
      </c>
      <c r="B166" s="31" t="s">
        <v>1031</v>
      </c>
      <c r="C166" s="31" t="s">
        <v>1429</v>
      </c>
      <c r="D166" s="14">
        <v>598</v>
      </c>
      <c r="E166" s="15">
        <v>9.9700000000000006</v>
      </c>
      <c r="F166" s="16">
        <v>2E-3</v>
      </c>
      <c r="G166" s="75"/>
    </row>
    <row r="167" spans="1:7" x14ac:dyDescent="0.25">
      <c r="A167" s="74" t="s">
        <v>1283</v>
      </c>
      <c r="B167" s="31" t="s">
        <v>1284</v>
      </c>
      <c r="C167" s="31" t="s">
        <v>1429</v>
      </c>
      <c r="D167" s="14">
        <v>1314</v>
      </c>
      <c r="E167" s="15">
        <v>9.94</v>
      </c>
      <c r="F167" s="16">
        <v>2E-3</v>
      </c>
      <c r="G167" s="75"/>
    </row>
    <row r="168" spans="1:7" x14ac:dyDescent="0.25">
      <c r="A168" s="74" t="s">
        <v>773</v>
      </c>
      <c r="B168" s="31" t="s">
        <v>774</v>
      </c>
      <c r="C168" s="31" t="s">
        <v>573</v>
      </c>
      <c r="D168" s="14">
        <v>1641</v>
      </c>
      <c r="E168" s="15">
        <v>9.81</v>
      </c>
      <c r="F168" s="16">
        <v>2E-3</v>
      </c>
      <c r="G168" s="75"/>
    </row>
    <row r="169" spans="1:7" x14ac:dyDescent="0.25">
      <c r="A169" s="74" t="s">
        <v>731</v>
      </c>
      <c r="B169" s="31" t="s">
        <v>732</v>
      </c>
      <c r="C169" s="31" t="s">
        <v>677</v>
      </c>
      <c r="D169" s="14">
        <v>217</v>
      </c>
      <c r="E169" s="15">
        <v>9.7899999999999991</v>
      </c>
      <c r="F169" s="16">
        <v>1.9E-3</v>
      </c>
      <c r="G169" s="75"/>
    </row>
    <row r="170" spans="1:7" x14ac:dyDescent="0.25">
      <c r="A170" s="74" t="s">
        <v>569</v>
      </c>
      <c r="B170" s="31" t="s">
        <v>570</v>
      </c>
      <c r="C170" s="31" t="s">
        <v>2025</v>
      </c>
      <c r="D170" s="14">
        <v>6480</v>
      </c>
      <c r="E170" s="15">
        <v>9.7899999999999991</v>
      </c>
      <c r="F170" s="16">
        <v>1.9E-3</v>
      </c>
      <c r="G170" s="75"/>
    </row>
    <row r="171" spans="1:7" x14ac:dyDescent="0.25">
      <c r="A171" s="74" t="s">
        <v>1285</v>
      </c>
      <c r="B171" s="31" t="s">
        <v>1286</v>
      </c>
      <c r="C171" s="31" t="s">
        <v>494</v>
      </c>
      <c r="D171" s="14">
        <v>1981</v>
      </c>
      <c r="E171" s="15">
        <v>9.7799999999999994</v>
      </c>
      <c r="F171" s="16">
        <v>1.9E-3</v>
      </c>
      <c r="G171" s="75"/>
    </row>
    <row r="172" spans="1:7" x14ac:dyDescent="0.25">
      <c r="A172" s="74" t="s">
        <v>1287</v>
      </c>
      <c r="B172" s="31" t="s">
        <v>1288</v>
      </c>
      <c r="C172" s="31" t="s">
        <v>1429</v>
      </c>
      <c r="D172" s="14">
        <v>130</v>
      </c>
      <c r="E172" s="15">
        <v>9.75</v>
      </c>
      <c r="F172" s="16">
        <v>1.9E-3</v>
      </c>
      <c r="G172" s="75"/>
    </row>
    <row r="173" spans="1:7" x14ac:dyDescent="0.25">
      <c r="A173" s="74" t="s">
        <v>1289</v>
      </c>
      <c r="B173" s="31" t="s">
        <v>1290</v>
      </c>
      <c r="C173" s="31" t="s">
        <v>2030</v>
      </c>
      <c r="D173" s="14">
        <v>345</v>
      </c>
      <c r="E173" s="15">
        <v>9.65</v>
      </c>
      <c r="F173" s="16">
        <v>1.9E-3</v>
      </c>
      <c r="G173" s="75"/>
    </row>
    <row r="174" spans="1:7" x14ac:dyDescent="0.25">
      <c r="A174" s="74" t="s">
        <v>627</v>
      </c>
      <c r="B174" s="31" t="s">
        <v>628</v>
      </c>
      <c r="C174" s="31" t="s">
        <v>440</v>
      </c>
      <c r="D174" s="14">
        <v>2686</v>
      </c>
      <c r="E174" s="15">
        <v>9.65</v>
      </c>
      <c r="F174" s="16">
        <v>1.9E-3</v>
      </c>
      <c r="G174" s="75"/>
    </row>
    <row r="175" spans="1:7" x14ac:dyDescent="0.25">
      <c r="A175" s="74" t="s">
        <v>673</v>
      </c>
      <c r="B175" s="31" t="s">
        <v>674</v>
      </c>
      <c r="C175" s="31" t="s">
        <v>2032</v>
      </c>
      <c r="D175" s="14">
        <v>392</v>
      </c>
      <c r="E175" s="15">
        <v>9.6300000000000008</v>
      </c>
      <c r="F175" s="16">
        <v>1.9E-3</v>
      </c>
      <c r="G175" s="75"/>
    </row>
    <row r="176" spans="1:7" x14ac:dyDescent="0.25">
      <c r="A176" s="74" t="s">
        <v>1291</v>
      </c>
      <c r="B176" s="31" t="s">
        <v>1292</v>
      </c>
      <c r="C176" s="31" t="s">
        <v>2035</v>
      </c>
      <c r="D176" s="14">
        <v>17985</v>
      </c>
      <c r="E176" s="15">
        <v>9.59</v>
      </c>
      <c r="F176" s="16">
        <v>1.9E-3</v>
      </c>
      <c r="G176" s="75"/>
    </row>
    <row r="177" spans="1:7" x14ac:dyDescent="0.25">
      <c r="A177" s="74" t="s">
        <v>763</v>
      </c>
      <c r="B177" s="31" t="s">
        <v>764</v>
      </c>
      <c r="C177" s="31" t="s">
        <v>1429</v>
      </c>
      <c r="D177" s="14">
        <v>220</v>
      </c>
      <c r="E177" s="15">
        <v>9.57</v>
      </c>
      <c r="F177" s="16">
        <v>1.9E-3</v>
      </c>
      <c r="G177" s="75"/>
    </row>
    <row r="178" spans="1:7" x14ac:dyDescent="0.25">
      <c r="A178" s="74" t="s">
        <v>753</v>
      </c>
      <c r="B178" s="31" t="s">
        <v>754</v>
      </c>
      <c r="C178" s="31" t="s">
        <v>487</v>
      </c>
      <c r="D178" s="14">
        <v>718</v>
      </c>
      <c r="E178" s="15">
        <v>9.5399999999999991</v>
      </c>
      <c r="F178" s="16">
        <v>1.9E-3</v>
      </c>
      <c r="G178" s="75"/>
    </row>
    <row r="179" spans="1:7" x14ac:dyDescent="0.25">
      <c r="A179" s="74" t="s">
        <v>1293</v>
      </c>
      <c r="B179" s="31" t="s">
        <v>1294</v>
      </c>
      <c r="C179" s="31" t="s">
        <v>2027</v>
      </c>
      <c r="D179" s="14">
        <v>752</v>
      </c>
      <c r="E179" s="15">
        <v>9.48</v>
      </c>
      <c r="F179" s="16">
        <v>1.9E-3</v>
      </c>
      <c r="G179" s="75"/>
    </row>
    <row r="180" spans="1:7" x14ac:dyDescent="0.25">
      <c r="A180" s="74" t="s">
        <v>1295</v>
      </c>
      <c r="B180" s="31" t="s">
        <v>1296</v>
      </c>
      <c r="C180" s="31" t="s">
        <v>2027</v>
      </c>
      <c r="D180" s="14">
        <v>892</v>
      </c>
      <c r="E180" s="15">
        <v>9.43</v>
      </c>
      <c r="F180" s="16">
        <v>1.9E-3</v>
      </c>
      <c r="G180" s="75"/>
    </row>
    <row r="181" spans="1:7" x14ac:dyDescent="0.25">
      <c r="A181" s="74" t="s">
        <v>1297</v>
      </c>
      <c r="B181" s="31" t="s">
        <v>1298</v>
      </c>
      <c r="C181" s="31" t="s">
        <v>677</v>
      </c>
      <c r="D181" s="14">
        <v>216</v>
      </c>
      <c r="E181" s="15">
        <v>9.34</v>
      </c>
      <c r="F181" s="16">
        <v>1.9E-3</v>
      </c>
      <c r="G181" s="75"/>
    </row>
    <row r="182" spans="1:7" x14ac:dyDescent="0.25">
      <c r="A182" s="74" t="s">
        <v>797</v>
      </c>
      <c r="B182" s="31" t="s">
        <v>798</v>
      </c>
      <c r="C182" s="31" t="s">
        <v>1429</v>
      </c>
      <c r="D182" s="14">
        <v>2111</v>
      </c>
      <c r="E182" s="15">
        <v>9.33</v>
      </c>
      <c r="F182" s="16">
        <v>1.9E-3</v>
      </c>
      <c r="G182" s="75"/>
    </row>
    <row r="183" spans="1:7" x14ac:dyDescent="0.25">
      <c r="A183" s="74" t="s">
        <v>1299</v>
      </c>
      <c r="B183" s="31" t="s">
        <v>1300</v>
      </c>
      <c r="C183" s="31" t="s">
        <v>2031</v>
      </c>
      <c r="D183" s="14">
        <v>184</v>
      </c>
      <c r="E183" s="15">
        <v>9.14</v>
      </c>
      <c r="F183" s="16">
        <v>1.8E-3</v>
      </c>
      <c r="G183" s="75"/>
    </row>
    <row r="184" spans="1:7" x14ac:dyDescent="0.25">
      <c r="A184" s="74" t="s">
        <v>600</v>
      </c>
      <c r="B184" s="31" t="s">
        <v>601</v>
      </c>
      <c r="C184" s="31" t="s">
        <v>480</v>
      </c>
      <c r="D184" s="14">
        <v>38</v>
      </c>
      <c r="E184" s="15">
        <v>9.1300000000000008</v>
      </c>
      <c r="F184" s="16">
        <v>1.8E-3</v>
      </c>
      <c r="G184" s="75"/>
    </row>
    <row r="185" spans="1:7" x14ac:dyDescent="0.25">
      <c r="A185" s="74" t="s">
        <v>609</v>
      </c>
      <c r="B185" s="31" t="s">
        <v>610</v>
      </c>
      <c r="C185" s="31" t="s">
        <v>2025</v>
      </c>
      <c r="D185" s="14">
        <v>4752</v>
      </c>
      <c r="E185" s="15">
        <v>9.08</v>
      </c>
      <c r="F185" s="16">
        <v>1.8E-3</v>
      </c>
      <c r="G185" s="75"/>
    </row>
    <row r="186" spans="1:7" x14ac:dyDescent="0.25">
      <c r="A186" s="74" t="s">
        <v>1147</v>
      </c>
      <c r="B186" s="31" t="s">
        <v>1148</v>
      </c>
      <c r="C186" s="31" t="s">
        <v>558</v>
      </c>
      <c r="D186" s="14">
        <v>559</v>
      </c>
      <c r="E186" s="15">
        <v>9.07</v>
      </c>
      <c r="F186" s="16">
        <v>1.8E-3</v>
      </c>
      <c r="G186" s="75"/>
    </row>
    <row r="187" spans="1:7" x14ac:dyDescent="0.25">
      <c r="A187" s="74" t="s">
        <v>1301</v>
      </c>
      <c r="B187" s="31" t="s">
        <v>1302</v>
      </c>
      <c r="C187" s="31" t="s">
        <v>450</v>
      </c>
      <c r="D187" s="14">
        <v>11176</v>
      </c>
      <c r="E187" s="15">
        <v>9.01</v>
      </c>
      <c r="F187" s="16">
        <v>1.8E-3</v>
      </c>
      <c r="G187" s="75"/>
    </row>
    <row r="188" spans="1:7" x14ac:dyDescent="0.25">
      <c r="A188" s="74" t="s">
        <v>649</v>
      </c>
      <c r="B188" s="31" t="s">
        <v>650</v>
      </c>
      <c r="C188" s="31" t="s">
        <v>2033</v>
      </c>
      <c r="D188" s="14">
        <v>18188</v>
      </c>
      <c r="E188" s="15">
        <v>8.98</v>
      </c>
      <c r="F188" s="16">
        <v>1.8E-3</v>
      </c>
      <c r="G188" s="75"/>
    </row>
    <row r="189" spans="1:7" x14ac:dyDescent="0.25">
      <c r="A189" s="74" t="s">
        <v>1145</v>
      </c>
      <c r="B189" s="31" t="s">
        <v>1146</v>
      </c>
      <c r="C189" s="31" t="s">
        <v>2028</v>
      </c>
      <c r="D189" s="14">
        <v>1902</v>
      </c>
      <c r="E189" s="15">
        <v>8.9</v>
      </c>
      <c r="F189" s="16">
        <v>1.8E-3</v>
      </c>
      <c r="G189" s="75"/>
    </row>
    <row r="190" spans="1:7" x14ac:dyDescent="0.25">
      <c r="A190" s="74" t="s">
        <v>795</v>
      </c>
      <c r="B190" s="31" t="s">
        <v>796</v>
      </c>
      <c r="C190" s="31" t="s">
        <v>2028</v>
      </c>
      <c r="D190" s="14">
        <v>1641</v>
      </c>
      <c r="E190" s="15">
        <v>8.8000000000000007</v>
      </c>
      <c r="F190" s="16">
        <v>1.8E-3</v>
      </c>
      <c r="G190" s="75"/>
    </row>
    <row r="191" spans="1:7" x14ac:dyDescent="0.25">
      <c r="A191" s="74" t="s">
        <v>592</v>
      </c>
      <c r="B191" s="31" t="s">
        <v>593</v>
      </c>
      <c r="C191" s="31" t="s">
        <v>450</v>
      </c>
      <c r="D191" s="14">
        <v>7647</v>
      </c>
      <c r="E191" s="15">
        <v>8.68</v>
      </c>
      <c r="F191" s="16">
        <v>1.6999999999999999E-3</v>
      </c>
      <c r="G191" s="75"/>
    </row>
    <row r="192" spans="1:7" x14ac:dyDescent="0.25">
      <c r="A192" s="74" t="s">
        <v>751</v>
      </c>
      <c r="B192" s="31" t="s">
        <v>752</v>
      </c>
      <c r="C192" s="31" t="s">
        <v>440</v>
      </c>
      <c r="D192" s="14">
        <v>7152</v>
      </c>
      <c r="E192" s="15">
        <v>8.51</v>
      </c>
      <c r="F192" s="16">
        <v>1.6999999999999999E-3</v>
      </c>
      <c r="G192" s="75"/>
    </row>
    <row r="193" spans="1:7" x14ac:dyDescent="0.25">
      <c r="A193" s="74" t="s">
        <v>1303</v>
      </c>
      <c r="B193" s="31" t="s">
        <v>1304</v>
      </c>
      <c r="C193" s="31" t="s">
        <v>2028</v>
      </c>
      <c r="D193" s="14">
        <v>791</v>
      </c>
      <c r="E193" s="15">
        <v>8.48</v>
      </c>
      <c r="F193" s="16">
        <v>1.6999999999999999E-3</v>
      </c>
      <c r="G193" s="75"/>
    </row>
    <row r="194" spans="1:7" x14ac:dyDescent="0.25">
      <c r="A194" s="74" t="s">
        <v>590</v>
      </c>
      <c r="B194" s="31" t="s">
        <v>591</v>
      </c>
      <c r="C194" s="31" t="s">
        <v>2032</v>
      </c>
      <c r="D194" s="14">
        <v>365</v>
      </c>
      <c r="E194" s="15">
        <v>8.3699999999999992</v>
      </c>
      <c r="F194" s="16">
        <v>1.6999999999999999E-3</v>
      </c>
      <c r="G194" s="75"/>
    </row>
    <row r="195" spans="1:7" x14ac:dyDescent="0.25">
      <c r="A195" s="74" t="s">
        <v>497</v>
      </c>
      <c r="B195" s="31" t="s">
        <v>498</v>
      </c>
      <c r="C195" s="31" t="s">
        <v>450</v>
      </c>
      <c r="D195" s="14">
        <v>376</v>
      </c>
      <c r="E195" s="15">
        <v>8.2200000000000006</v>
      </c>
      <c r="F195" s="16">
        <v>1.6000000000000001E-3</v>
      </c>
      <c r="G195" s="75"/>
    </row>
    <row r="196" spans="1:7" x14ac:dyDescent="0.25">
      <c r="A196" s="74" t="s">
        <v>613</v>
      </c>
      <c r="B196" s="31" t="s">
        <v>614</v>
      </c>
      <c r="C196" s="31" t="s">
        <v>615</v>
      </c>
      <c r="D196" s="14">
        <v>705</v>
      </c>
      <c r="E196" s="15">
        <v>8.1300000000000008</v>
      </c>
      <c r="F196" s="16">
        <v>1.6000000000000001E-3</v>
      </c>
      <c r="G196" s="75"/>
    </row>
    <row r="197" spans="1:7" x14ac:dyDescent="0.25">
      <c r="A197" s="74" t="s">
        <v>1064</v>
      </c>
      <c r="B197" s="31" t="s">
        <v>1065</v>
      </c>
      <c r="C197" s="31" t="s">
        <v>626</v>
      </c>
      <c r="D197" s="14">
        <v>5122</v>
      </c>
      <c r="E197" s="15">
        <v>7.97</v>
      </c>
      <c r="F197" s="16">
        <v>1.6000000000000001E-3</v>
      </c>
      <c r="G197" s="75"/>
    </row>
    <row r="198" spans="1:7" x14ac:dyDescent="0.25">
      <c r="A198" s="74" t="s">
        <v>669</v>
      </c>
      <c r="B198" s="31" t="s">
        <v>670</v>
      </c>
      <c r="C198" s="31" t="s">
        <v>450</v>
      </c>
      <c r="D198" s="14">
        <v>1109</v>
      </c>
      <c r="E198" s="15">
        <v>7.97</v>
      </c>
      <c r="F198" s="16">
        <v>1.6000000000000001E-3</v>
      </c>
      <c r="G198" s="75"/>
    </row>
    <row r="199" spans="1:7" x14ac:dyDescent="0.25">
      <c r="A199" s="74" t="s">
        <v>565</v>
      </c>
      <c r="B199" s="31" t="s">
        <v>566</v>
      </c>
      <c r="C199" s="31" t="s">
        <v>2028</v>
      </c>
      <c r="D199" s="14">
        <v>1065</v>
      </c>
      <c r="E199" s="15">
        <v>7.96</v>
      </c>
      <c r="F199" s="16">
        <v>1.6000000000000001E-3</v>
      </c>
      <c r="G199" s="75"/>
    </row>
    <row r="200" spans="1:7" x14ac:dyDescent="0.25">
      <c r="A200" s="74" t="s">
        <v>757</v>
      </c>
      <c r="B200" s="31" t="s">
        <v>758</v>
      </c>
      <c r="C200" s="31" t="s">
        <v>514</v>
      </c>
      <c r="D200" s="14">
        <v>2283</v>
      </c>
      <c r="E200" s="15">
        <v>7.94</v>
      </c>
      <c r="F200" s="16">
        <v>1.6000000000000001E-3</v>
      </c>
      <c r="G200" s="75"/>
    </row>
    <row r="201" spans="1:7" x14ac:dyDescent="0.25">
      <c r="A201" s="74" t="s">
        <v>1305</v>
      </c>
      <c r="B201" s="31" t="s">
        <v>1306</v>
      </c>
      <c r="C201" s="31" t="s">
        <v>2031</v>
      </c>
      <c r="D201" s="14">
        <v>1762</v>
      </c>
      <c r="E201" s="15">
        <v>7.9</v>
      </c>
      <c r="F201" s="16">
        <v>1.6000000000000001E-3</v>
      </c>
      <c r="G201" s="75"/>
    </row>
    <row r="202" spans="1:7" x14ac:dyDescent="0.25">
      <c r="A202" s="74" t="s">
        <v>663</v>
      </c>
      <c r="B202" s="31" t="s">
        <v>664</v>
      </c>
      <c r="C202" s="31" t="s">
        <v>2027</v>
      </c>
      <c r="D202" s="14">
        <v>128</v>
      </c>
      <c r="E202" s="15">
        <v>7.88</v>
      </c>
      <c r="F202" s="16">
        <v>1.6000000000000001E-3</v>
      </c>
      <c r="G202" s="75"/>
    </row>
    <row r="203" spans="1:7" x14ac:dyDescent="0.25">
      <c r="A203" s="74" t="s">
        <v>1307</v>
      </c>
      <c r="B203" s="31" t="s">
        <v>1308</v>
      </c>
      <c r="C203" s="31" t="s">
        <v>2028</v>
      </c>
      <c r="D203" s="14">
        <v>40</v>
      </c>
      <c r="E203" s="15">
        <v>7.88</v>
      </c>
      <c r="F203" s="16">
        <v>1.6000000000000001E-3</v>
      </c>
      <c r="G203" s="75"/>
    </row>
    <row r="204" spans="1:7" x14ac:dyDescent="0.25">
      <c r="A204" s="74" t="s">
        <v>476</v>
      </c>
      <c r="B204" s="31" t="s">
        <v>477</v>
      </c>
      <c r="C204" s="31" t="s">
        <v>2027</v>
      </c>
      <c r="D204" s="14">
        <v>181</v>
      </c>
      <c r="E204" s="15">
        <v>7.79</v>
      </c>
      <c r="F204" s="16">
        <v>1.5E-3</v>
      </c>
      <c r="G204" s="75"/>
    </row>
    <row r="205" spans="1:7" x14ac:dyDescent="0.25">
      <c r="A205" s="74" t="s">
        <v>535</v>
      </c>
      <c r="B205" s="31" t="s">
        <v>536</v>
      </c>
      <c r="C205" s="31" t="s">
        <v>2028</v>
      </c>
      <c r="D205" s="14">
        <v>838</v>
      </c>
      <c r="E205" s="15">
        <v>7.44</v>
      </c>
      <c r="F205" s="16">
        <v>1.5E-3</v>
      </c>
      <c r="G205" s="75"/>
    </row>
    <row r="206" spans="1:7" x14ac:dyDescent="0.25">
      <c r="A206" s="74" t="s">
        <v>1214</v>
      </c>
      <c r="B206" s="31" t="s">
        <v>1215</v>
      </c>
      <c r="C206" s="31" t="s">
        <v>2030</v>
      </c>
      <c r="D206" s="14">
        <v>377</v>
      </c>
      <c r="E206" s="15">
        <v>7.36</v>
      </c>
      <c r="F206" s="16">
        <v>1.5E-3</v>
      </c>
      <c r="G206" s="75"/>
    </row>
    <row r="207" spans="1:7" x14ac:dyDescent="0.25">
      <c r="A207" s="74" t="s">
        <v>571</v>
      </c>
      <c r="B207" s="31" t="s">
        <v>572</v>
      </c>
      <c r="C207" s="31" t="s">
        <v>573</v>
      </c>
      <c r="D207" s="14">
        <v>361</v>
      </c>
      <c r="E207" s="15">
        <v>7.35</v>
      </c>
      <c r="F207" s="16">
        <v>1.5E-3</v>
      </c>
      <c r="G207" s="75"/>
    </row>
    <row r="208" spans="1:7" x14ac:dyDescent="0.25">
      <c r="A208" s="74" t="s">
        <v>791</v>
      </c>
      <c r="B208" s="31" t="s">
        <v>792</v>
      </c>
      <c r="C208" s="31" t="s">
        <v>2028</v>
      </c>
      <c r="D208" s="14">
        <v>1455</v>
      </c>
      <c r="E208" s="15">
        <v>7.33</v>
      </c>
      <c r="F208" s="16">
        <v>1.5E-3</v>
      </c>
      <c r="G208" s="75"/>
    </row>
    <row r="209" spans="1:7" x14ac:dyDescent="0.25">
      <c r="A209" s="74" t="s">
        <v>1058</v>
      </c>
      <c r="B209" s="31" t="s">
        <v>1059</v>
      </c>
      <c r="C209" s="31" t="s">
        <v>514</v>
      </c>
      <c r="D209" s="14">
        <v>1139</v>
      </c>
      <c r="E209" s="15">
        <v>7.08</v>
      </c>
      <c r="F209" s="16">
        <v>1.4E-3</v>
      </c>
      <c r="G209" s="75"/>
    </row>
    <row r="210" spans="1:7" x14ac:dyDescent="0.25">
      <c r="A210" s="74" t="s">
        <v>1309</v>
      </c>
      <c r="B210" s="31" t="s">
        <v>1310</v>
      </c>
      <c r="C210" s="31" t="s">
        <v>450</v>
      </c>
      <c r="D210" s="14">
        <v>141</v>
      </c>
      <c r="E210" s="15">
        <v>7.07</v>
      </c>
      <c r="F210" s="16">
        <v>1.4E-3</v>
      </c>
      <c r="G210" s="75"/>
    </row>
    <row r="211" spans="1:7" x14ac:dyDescent="0.25">
      <c r="A211" s="74" t="s">
        <v>651</v>
      </c>
      <c r="B211" s="31" t="s">
        <v>652</v>
      </c>
      <c r="C211" s="31" t="s">
        <v>615</v>
      </c>
      <c r="D211" s="14">
        <v>448</v>
      </c>
      <c r="E211" s="15">
        <v>7.05</v>
      </c>
      <c r="F211" s="16">
        <v>1.4E-3</v>
      </c>
      <c r="G211" s="75"/>
    </row>
    <row r="212" spans="1:7" x14ac:dyDescent="0.25">
      <c r="A212" s="74" t="s">
        <v>515</v>
      </c>
      <c r="B212" s="31" t="s">
        <v>516</v>
      </c>
      <c r="C212" s="31" t="s">
        <v>453</v>
      </c>
      <c r="D212" s="14">
        <v>1391</v>
      </c>
      <c r="E212" s="15">
        <v>6.81</v>
      </c>
      <c r="F212" s="16">
        <v>1.4E-3</v>
      </c>
      <c r="G212" s="75"/>
    </row>
    <row r="213" spans="1:7" x14ac:dyDescent="0.25">
      <c r="A213" s="74" t="s">
        <v>1311</v>
      </c>
      <c r="B213" s="31" t="s">
        <v>1312</v>
      </c>
      <c r="C213" s="31" t="s">
        <v>1429</v>
      </c>
      <c r="D213" s="14">
        <v>366</v>
      </c>
      <c r="E213" s="15">
        <v>6.63</v>
      </c>
      <c r="F213" s="16">
        <v>1.2999999999999999E-3</v>
      </c>
      <c r="G213" s="75"/>
    </row>
    <row r="214" spans="1:7" x14ac:dyDescent="0.25">
      <c r="A214" s="74" t="s">
        <v>539</v>
      </c>
      <c r="B214" s="31" t="s">
        <v>540</v>
      </c>
      <c r="C214" s="31" t="s">
        <v>494</v>
      </c>
      <c r="D214" s="14">
        <v>1741</v>
      </c>
      <c r="E214" s="15">
        <v>6.62</v>
      </c>
      <c r="F214" s="16">
        <v>1.2999999999999999E-3</v>
      </c>
      <c r="G214" s="75"/>
    </row>
    <row r="215" spans="1:7" x14ac:dyDescent="0.25">
      <c r="A215" s="74" t="s">
        <v>529</v>
      </c>
      <c r="B215" s="31" t="s">
        <v>530</v>
      </c>
      <c r="C215" s="31" t="s">
        <v>2031</v>
      </c>
      <c r="D215" s="14">
        <v>226</v>
      </c>
      <c r="E215" s="15">
        <v>6.37</v>
      </c>
      <c r="F215" s="16">
        <v>1.2999999999999999E-3</v>
      </c>
      <c r="G215" s="75"/>
    </row>
    <row r="216" spans="1:7" x14ac:dyDescent="0.25">
      <c r="A216" s="74" t="s">
        <v>1313</v>
      </c>
      <c r="B216" s="31" t="s">
        <v>1314</v>
      </c>
      <c r="C216" s="31" t="s">
        <v>465</v>
      </c>
      <c r="D216" s="14">
        <v>16403</v>
      </c>
      <c r="E216" s="15">
        <v>6.35</v>
      </c>
      <c r="F216" s="16">
        <v>1.2999999999999999E-3</v>
      </c>
      <c r="G216" s="75"/>
    </row>
    <row r="217" spans="1:7" x14ac:dyDescent="0.25">
      <c r="A217" s="74" t="s">
        <v>545</v>
      </c>
      <c r="B217" s="31" t="s">
        <v>546</v>
      </c>
      <c r="C217" s="31" t="s">
        <v>480</v>
      </c>
      <c r="D217" s="14">
        <v>2067</v>
      </c>
      <c r="E217" s="15">
        <v>6.19</v>
      </c>
      <c r="F217" s="16">
        <v>1.1999999999999999E-3</v>
      </c>
      <c r="G217" s="75"/>
    </row>
    <row r="218" spans="1:7" x14ac:dyDescent="0.25">
      <c r="A218" s="74" t="s">
        <v>684</v>
      </c>
      <c r="B218" s="31" t="s">
        <v>685</v>
      </c>
      <c r="C218" s="31" t="s">
        <v>450</v>
      </c>
      <c r="D218" s="14">
        <v>717</v>
      </c>
      <c r="E218" s="15">
        <v>6.11</v>
      </c>
      <c r="F218" s="16">
        <v>1.1999999999999999E-3</v>
      </c>
      <c r="G218" s="75"/>
    </row>
    <row r="219" spans="1:7" x14ac:dyDescent="0.25">
      <c r="A219" s="74" t="s">
        <v>704</v>
      </c>
      <c r="B219" s="31" t="s">
        <v>705</v>
      </c>
      <c r="C219" s="31" t="s">
        <v>1429</v>
      </c>
      <c r="D219" s="14">
        <v>805</v>
      </c>
      <c r="E219" s="15">
        <v>5.97</v>
      </c>
      <c r="F219" s="16">
        <v>1.1999999999999999E-3</v>
      </c>
      <c r="G219" s="75"/>
    </row>
    <row r="220" spans="1:7" x14ac:dyDescent="0.25">
      <c r="A220" s="74" t="s">
        <v>759</v>
      </c>
      <c r="B220" s="31" t="s">
        <v>760</v>
      </c>
      <c r="C220" s="31" t="s">
        <v>2033</v>
      </c>
      <c r="D220" s="14">
        <v>251</v>
      </c>
      <c r="E220" s="15">
        <v>5.94</v>
      </c>
      <c r="F220" s="16">
        <v>1.1999999999999999E-3</v>
      </c>
      <c r="G220" s="75"/>
    </row>
    <row r="221" spans="1:7" x14ac:dyDescent="0.25">
      <c r="A221" s="74" t="s">
        <v>635</v>
      </c>
      <c r="B221" s="31" t="s">
        <v>636</v>
      </c>
      <c r="C221" s="31" t="s">
        <v>465</v>
      </c>
      <c r="D221" s="14">
        <v>5238</v>
      </c>
      <c r="E221" s="15">
        <v>5.85</v>
      </c>
      <c r="F221" s="16">
        <v>1.1999999999999999E-3</v>
      </c>
      <c r="G221" s="75"/>
    </row>
    <row r="222" spans="1:7" x14ac:dyDescent="0.25">
      <c r="A222" s="74" t="s">
        <v>474</v>
      </c>
      <c r="B222" s="31" t="s">
        <v>475</v>
      </c>
      <c r="C222" s="31" t="s">
        <v>465</v>
      </c>
      <c r="D222" s="14">
        <v>1904</v>
      </c>
      <c r="E222" s="15">
        <v>5.85</v>
      </c>
      <c r="F222" s="16">
        <v>1.1999999999999999E-3</v>
      </c>
      <c r="G222" s="75"/>
    </row>
    <row r="223" spans="1:7" x14ac:dyDescent="0.25">
      <c r="A223" s="74" t="s">
        <v>1040</v>
      </c>
      <c r="B223" s="31" t="s">
        <v>1041</v>
      </c>
      <c r="C223" s="31" t="s">
        <v>2028</v>
      </c>
      <c r="D223" s="14">
        <v>375</v>
      </c>
      <c r="E223" s="15">
        <v>5.78</v>
      </c>
      <c r="F223" s="16">
        <v>1.1999999999999999E-3</v>
      </c>
      <c r="G223" s="75"/>
    </row>
    <row r="224" spans="1:7" x14ac:dyDescent="0.25">
      <c r="A224" s="74" t="s">
        <v>1315</v>
      </c>
      <c r="B224" s="31" t="s">
        <v>1316</v>
      </c>
      <c r="C224" s="31" t="s">
        <v>480</v>
      </c>
      <c r="D224" s="14">
        <v>1462</v>
      </c>
      <c r="E224" s="15">
        <v>5.77</v>
      </c>
      <c r="F224" s="16">
        <v>1.1000000000000001E-3</v>
      </c>
      <c r="G224" s="75"/>
    </row>
    <row r="225" spans="1:7" x14ac:dyDescent="0.25">
      <c r="A225" s="74" t="s">
        <v>1060</v>
      </c>
      <c r="B225" s="31" t="s">
        <v>1061</v>
      </c>
      <c r="C225" s="31" t="s">
        <v>2030</v>
      </c>
      <c r="D225" s="14">
        <v>202</v>
      </c>
      <c r="E225" s="15">
        <v>5.77</v>
      </c>
      <c r="F225" s="16">
        <v>1.1000000000000001E-3</v>
      </c>
      <c r="G225" s="75"/>
    </row>
    <row r="226" spans="1:7" x14ac:dyDescent="0.25">
      <c r="A226" s="74" t="s">
        <v>1317</v>
      </c>
      <c r="B226" s="31" t="s">
        <v>1318</v>
      </c>
      <c r="C226" s="31" t="s">
        <v>2024</v>
      </c>
      <c r="D226" s="14">
        <v>84</v>
      </c>
      <c r="E226" s="15">
        <v>5.76</v>
      </c>
      <c r="F226" s="16">
        <v>1.1000000000000001E-3</v>
      </c>
      <c r="G226" s="75"/>
    </row>
    <row r="227" spans="1:7" x14ac:dyDescent="0.25">
      <c r="A227" s="74" t="s">
        <v>616</v>
      </c>
      <c r="B227" s="31" t="s">
        <v>617</v>
      </c>
      <c r="C227" s="31" t="s">
        <v>608</v>
      </c>
      <c r="D227" s="14">
        <v>215</v>
      </c>
      <c r="E227" s="15">
        <v>5.67</v>
      </c>
      <c r="F227" s="16">
        <v>1.1000000000000001E-3</v>
      </c>
      <c r="G227" s="75"/>
    </row>
    <row r="228" spans="1:7" x14ac:dyDescent="0.25">
      <c r="A228" s="74" t="s">
        <v>1319</v>
      </c>
      <c r="B228" s="31" t="s">
        <v>1320</v>
      </c>
      <c r="C228" s="31" t="s">
        <v>450</v>
      </c>
      <c r="D228" s="14">
        <v>25829</v>
      </c>
      <c r="E228" s="15">
        <v>5.54</v>
      </c>
      <c r="F228" s="16">
        <v>1.1000000000000001E-3</v>
      </c>
      <c r="G228" s="75"/>
    </row>
    <row r="229" spans="1:7" x14ac:dyDescent="0.25">
      <c r="A229" s="74" t="s">
        <v>547</v>
      </c>
      <c r="B229" s="31" t="s">
        <v>548</v>
      </c>
      <c r="C229" s="31" t="s">
        <v>487</v>
      </c>
      <c r="D229" s="14">
        <v>1092</v>
      </c>
      <c r="E229" s="15">
        <v>5.47</v>
      </c>
      <c r="F229" s="16">
        <v>1.1000000000000001E-3</v>
      </c>
      <c r="G229" s="75"/>
    </row>
    <row r="230" spans="1:7" x14ac:dyDescent="0.25">
      <c r="A230" s="74" t="s">
        <v>580</v>
      </c>
      <c r="B230" s="31" t="s">
        <v>581</v>
      </c>
      <c r="C230" s="31" t="s">
        <v>2024</v>
      </c>
      <c r="D230" s="14">
        <v>271</v>
      </c>
      <c r="E230" s="15">
        <v>5.46</v>
      </c>
      <c r="F230" s="16">
        <v>1.1000000000000001E-3</v>
      </c>
      <c r="G230" s="75"/>
    </row>
    <row r="231" spans="1:7" x14ac:dyDescent="0.25">
      <c r="A231" s="74" t="s">
        <v>1321</v>
      </c>
      <c r="B231" s="31" t="s">
        <v>1322</v>
      </c>
      <c r="C231" s="31" t="s">
        <v>2025</v>
      </c>
      <c r="D231" s="14">
        <v>496</v>
      </c>
      <c r="E231" s="15">
        <v>5.43</v>
      </c>
      <c r="F231" s="16">
        <v>1.1000000000000001E-3</v>
      </c>
      <c r="G231" s="75"/>
    </row>
    <row r="232" spans="1:7" x14ac:dyDescent="0.25">
      <c r="A232" s="74" t="s">
        <v>1169</v>
      </c>
      <c r="B232" s="31" t="s">
        <v>1170</v>
      </c>
      <c r="C232" s="31" t="s">
        <v>465</v>
      </c>
      <c r="D232" s="14">
        <v>3516</v>
      </c>
      <c r="E232" s="15">
        <v>5.41</v>
      </c>
      <c r="F232" s="16">
        <v>1.1000000000000001E-3</v>
      </c>
      <c r="G232" s="75"/>
    </row>
    <row r="233" spans="1:7" x14ac:dyDescent="0.25">
      <c r="A233" s="74" t="s">
        <v>543</v>
      </c>
      <c r="B233" s="31" t="s">
        <v>544</v>
      </c>
      <c r="C233" s="31" t="s">
        <v>2026</v>
      </c>
      <c r="D233" s="14">
        <v>3216</v>
      </c>
      <c r="E233" s="15">
        <v>5.23</v>
      </c>
      <c r="F233" s="16">
        <v>1E-3</v>
      </c>
      <c r="G233" s="75"/>
    </row>
    <row r="234" spans="1:7" x14ac:dyDescent="0.25">
      <c r="A234" s="74" t="s">
        <v>692</v>
      </c>
      <c r="B234" s="31" t="s">
        <v>693</v>
      </c>
      <c r="C234" s="31" t="s">
        <v>480</v>
      </c>
      <c r="D234" s="14">
        <v>238</v>
      </c>
      <c r="E234" s="15">
        <v>5.12</v>
      </c>
      <c r="F234" s="16">
        <v>1E-3</v>
      </c>
      <c r="G234" s="75"/>
    </row>
    <row r="235" spans="1:7" x14ac:dyDescent="0.25">
      <c r="A235" s="74" t="s">
        <v>1227</v>
      </c>
      <c r="B235" s="31" t="s">
        <v>1228</v>
      </c>
      <c r="C235" s="31" t="s">
        <v>2025</v>
      </c>
      <c r="D235" s="14">
        <v>67</v>
      </c>
      <c r="E235" s="15">
        <v>5.1100000000000003</v>
      </c>
      <c r="F235" s="16">
        <v>1E-3</v>
      </c>
      <c r="G235" s="75"/>
    </row>
    <row r="236" spans="1:7" x14ac:dyDescent="0.25">
      <c r="A236" s="74" t="s">
        <v>574</v>
      </c>
      <c r="B236" s="31" t="s">
        <v>575</v>
      </c>
      <c r="C236" s="31" t="s">
        <v>1429</v>
      </c>
      <c r="D236" s="14">
        <v>678</v>
      </c>
      <c r="E236" s="15">
        <v>5.0599999999999996</v>
      </c>
      <c r="F236" s="16">
        <v>1E-3</v>
      </c>
      <c r="G236" s="75"/>
    </row>
    <row r="237" spans="1:7" x14ac:dyDescent="0.25">
      <c r="A237" s="74" t="s">
        <v>602</v>
      </c>
      <c r="B237" s="31" t="s">
        <v>603</v>
      </c>
      <c r="C237" s="31" t="s">
        <v>443</v>
      </c>
      <c r="D237" s="14">
        <v>2275</v>
      </c>
      <c r="E237" s="15">
        <v>5.05</v>
      </c>
      <c r="F237" s="16">
        <v>1E-3</v>
      </c>
      <c r="G237" s="75"/>
    </row>
    <row r="238" spans="1:7" x14ac:dyDescent="0.25">
      <c r="A238" s="74" t="s">
        <v>1323</v>
      </c>
      <c r="B238" s="31" t="s">
        <v>1324</v>
      </c>
      <c r="C238" s="31" t="s">
        <v>465</v>
      </c>
      <c r="D238" s="14">
        <v>11007</v>
      </c>
      <c r="E238" s="15">
        <v>5.05</v>
      </c>
      <c r="F238" s="16">
        <v>1E-3</v>
      </c>
      <c r="G238" s="75"/>
    </row>
    <row r="239" spans="1:7" x14ac:dyDescent="0.25">
      <c r="A239" s="74" t="s">
        <v>1019</v>
      </c>
      <c r="B239" s="31" t="s">
        <v>1020</v>
      </c>
      <c r="C239" s="31" t="s">
        <v>1429</v>
      </c>
      <c r="D239" s="14">
        <v>148</v>
      </c>
      <c r="E239" s="15">
        <v>4.84</v>
      </c>
      <c r="F239" s="16">
        <v>1E-3</v>
      </c>
      <c r="G239" s="75"/>
    </row>
    <row r="240" spans="1:7" x14ac:dyDescent="0.25">
      <c r="A240" s="74" t="s">
        <v>1325</v>
      </c>
      <c r="B240" s="31" t="s">
        <v>1326</v>
      </c>
      <c r="C240" s="31" t="s">
        <v>2030</v>
      </c>
      <c r="D240" s="14">
        <v>240</v>
      </c>
      <c r="E240" s="15">
        <v>4.78</v>
      </c>
      <c r="F240" s="16">
        <v>1E-3</v>
      </c>
      <c r="G240" s="75"/>
    </row>
    <row r="241" spans="1:7" x14ac:dyDescent="0.25">
      <c r="A241" s="74" t="s">
        <v>813</v>
      </c>
      <c r="B241" s="31" t="s">
        <v>814</v>
      </c>
      <c r="C241" s="31" t="s">
        <v>2028</v>
      </c>
      <c r="D241" s="14">
        <v>683</v>
      </c>
      <c r="E241" s="15">
        <v>4.78</v>
      </c>
      <c r="F241" s="16">
        <v>1E-3</v>
      </c>
      <c r="G241" s="75"/>
    </row>
    <row r="242" spans="1:7" x14ac:dyDescent="0.25">
      <c r="A242" s="74" t="s">
        <v>1327</v>
      </c>
      <c r="B242" s="31" t="s">
        <v>1328</v>
      </c>
      <c r="C242" s="31" t="s">
        <v>487</v>
      </c>
      <c r="D242" s="14">
        <v>650</v>
      </c>
      <c r="E242" s="15">
        <v>4.62</v>
      </c>
      <c r="F242" s="16">
        <v>8.9999999999999998E-4</v>
      </c>
      <c r="G242" s="75"/>
    </row>
    <row r="243" spans="1:7" x14ac:dyDescent="0.25">
      <c r="A243" s="74" t="s">
        <v>588</v>
      </c>
      <c r="B243" s="31" t="s">
        <v>589</v>
      </c>
      <c r="C243" s="31" t="s">
        <v>1429</v>
      </c>
      <c r="D243" s="14">
        <v>1284</v>
      </c>
      <c r="E243" s="15">
        <v>4.3099999999999996</v>
      </c>
      <c r="F243" s="16">
        <v>8.9999999999999998E-4</v>
      </c>
      <c r="G243" s="75"/>
    </row>
    <row r="244" spans="1:7" x14ac:dyDescent="0.25">
      <c r="A244" s="74" t="s">
        <v>1329</v>
      </c>
      <c r="B244" s="31" t="s">
        <v>1330</v>
      </c>
      <c r="C244" s="31" t="s">
        <v>2028</v>
      </c>
      <c r="D244" s="14">
        <v>903</v>
      </c>
      <c r="E244" s="15">
        <v>4.1900000000000004</v>
      </c>
      <c r="F244" s="16">
        <v>8.0000000000000004E-4</v>
      </c>
      <c r="G244" s="75"/>
    </row>
    <row r="245" spans="1:7" x14ac:dyDescent="0.25">
      <c r="A245" s="74" t="s">
        <v>551</v>
      </c>
      <c r="B245" s="31" t="s">
        <v>552</v>
      </c>
      <c r="C245" s="31" t="s">
        <v>450</v>
      </c>
      <c r="D245" s="14">
        <v>305</v>
      </c>
      <c r="E245" s="15">
        <v>4.0599999999999996</v>
      </c>
      <c r="F245" s="16">
        <v>8.0000000000000004E-4</v>
      </c>
      <c r="G245" s="75"/>
    </row>
    <row r="246" spans="1:7" x14ac:dyDescent="0.25">
      <c r="A246" s="74" t="s">
        <v>454</v>
      </c>
      <c r="B246" s="31" t="s">
        <v>455</v>
      </c>
      <c r="C246" s="31" t="s">
        <v>456</v>
      </c>
      <c r="D246" s="14">
        <v>4068</v>
      </c>
      <c r="E246" s="15">
        <v>4.01</v>
      </c>
      <c r="F246" s="16">
        <v>8.0000000000000004E-4</v>
      </c>
      <c r="G246" s="75"/>
    </row>
    <row r="247" spans="1:7" x14ac:dyDescent="0.25">
      <c r="A247" s="74" t="s">
        <v>1331</v>
      </c>
      <c r="B247" s="31" t="s">
        <v>1332</v>
      </c>
      <c r="C247" s="31" t="s">
        <v>514</v>
      </c>
      <c r="D247" s="14">
        <v>186</v>
      </c>
      <c r="E247" s="15">
        <v>3.99</v>
      </c>
      <c r="F247" s="16">
        <v>8.0000000000000004E-4</v>
      </c>
      <c r="G247" s="75"/>
    </row>
    <row r="248" spans="1:7" x14ac:dyDescent="0.25">
      <c r="A248" s="74" t="s">
        <v>1333</v>
      </c>
      <c r="B248" s="31" t="s">
        <v>1334</v>
      </c>
      <c r="C248" s="31" t="s">
        <v>487</v>
      </c>
      <c r="D248" s="14">
        <v>3467</v>
      </c>
      <c r="E248" s="15">
        <v>3.95</v>
      </c>
      <c r="F248" s="16">
        <v>8.0000000000000004E-4</v>
      </c>
      <c r="G248" s="75"/>
    </row>
    <row r="249" spans="1:7" x14ac:dyDescent="0.25">
      <c r="A249" s="74" t="s">
        <v>1335</v>
      </c>
      <c r="B249" s="31" t="s">
        <v>1336</v>
      </c>
      <c r="C249" s="31" t="s">
        <v>487</v>
      </c>
      <c r="D249" s="14">
        <v>3490</v>
      </c>
      <c r="E249" s="15">
        <v>3.9</v>
      </c>
      <c r="F249" s="16">
        <v>8.0000000000000004E-4</v>
      </c>
      <c r="G249" s="75"/>
    </row>
    <row r="250" spans="1:7" x14ac:dyDescent="0.25">
      <c r="A250" s="74" t="s">
        <v>799</v>
      </c>
      <c r="B250" s="31" t="s">
        <v>800</v>
      </c>
      <c r="C250" s="31" t="s">
        <v>1429</v>
      </c>
      <c r="D250" s="14">
        <v>138</v>
      </c>
      <c r="E250" s="15">
        <v>3.85</v>
      </c>
      <c r="F250" s="16">
        <v>8.0000000000000004E-4</v>
      </c>
      <c r="G250" s="75"/>
    </row>
    <row r="251" spans="1:7" x14ac:dyDescent="0.25">
      <c r="A251" s="74" t="s">
        <v>1105</v>
      </c>
      <c r="B251" s="31" t="s">
        <v>1106</v>
      </c>
      <c r="C251" s="31" t="s">
        <v>2028</v>
      </c>
      <c r="D251" s="14">
        <v>26</v>
      </c>
      <c r="E251" s="15">
        <v>3.75</v>
      </c>
      <c r="F251" s="16">
        <v>6.9999999999999999E-4</v>
      </c>
      <c r="G251" s="75"/>
    </row>
    <row r="252" spans="1:7" x14ac:dyDescent="0.25">
      <c r="A252" s="74" t="s">
        <v>789</v>
      </c>
      <c r="B252" s="31" t="s">
        <v>790</v>
      </c>
      <c r="C252" s="31" t="s">
        <v>2025</v>
      </c>
      <c r="D252" s="14">
        <v>24</v>
      </c>
      <c r="E252" s="15">
        <v>3.47</v>
      </c>
      <c r="F252" s="16">
        <v>6.9999999999999999E-4</v>
      </c>
      <c r="G252" s="75"/>
    </row>
    <row r="253" spans="1:7" x14ac:dyDescent="0.25">
      <c r="A253" s="74" t="s">
        <v>1337</v>
      </c>
      <c r="B253" s="31" t="s">
        <v>1338</v>
      </c>
      <c r="C253" s="31" t="s">
        <v>677</v>
      </c>
      <c r="D253" s="14">
        <v>3987</v>
      </c>
      <c r="E253" s="15">
        <v>3.28</v>
      </c>
      <c r="F253" s="16">
        <v>6.9999999999999999E-4</v>
      </c>
      <c r="G253" s="75"/>
    </row>
    <row r="254" spans="1:7" x14ac:dyDescent="0.25">
      <c r="A254" s="74" t="s">
        <v>1339</v>
      </c>
      <c r="B254" s="31" t="s">
        <v>1340</v>
      </c>
      <c r="C254" s="31" t="s">
        <v>465</v>
      </c>
      <c r="D254" s="14">
        <v>7590</v>
      </c>
      <c r="E254" s="15">
        <v>3.25</v>
      </c>
      <c r="F254" s="16">
        <v>5.9999999999999995E-4</v>
      </c>
      <c r="G254" s="75"/>
    </row>
    <row r="255" spans="1:7" x14ac:dyDescent="0.25">
      <c r="A255" s="74" t="s">
        <v>506</v>
      </c>
      <c r="B255" s="31" t="s">
        <v>507</v>
      </c>
      <c r="C255" s="31" t="s">
        <v>465</v>
      </c>
      <c r="D255" s="14">
        <v>8365</v>
      </c>
      <c r="E255" s="15">
        <v>2.93</v>
      </c>
      <c r="F255" s="16">
        <v>5.9999999999999995E-4</v>
      </c>
      <c r="G255" s="75"/>
    </row>
    <row r="256" spans="1:7" x14ac:dyDescent="0.25">
      <c r="A256" s="74" t="s">
        <v>1341</v>
      </c>
      <c r="B256" s="31" t="s">
        <v>1342</v>
      </c>
      <c r="C256" s="31" t="s">
        <v>677</v>
      </c>
      <c r="D256" s="14">
        <v>160</v>
      </c>
      <c r="E256" s="15">
        <v>2.7</v>
      </c>
      <c r="F256" s="16">
        <v>5.0000000000000001E-4</v>
      </c>
      <c r="G256" s="75"/>
    </row>
    <row r="257" spans="1:7" x14ac:dyDescent="0.25">
      <c r="A257" s="74" t="s">
        <v>604</v>
      </c>
      <c r="B257" s="31" t="s">
        <v>605</v>
      </c>
      <c r="C257" s="31" t="s">
        <v>1429</v>
      </c>
      <c r="D257" s="14">
        <v>720</v>
      </c>
      <c r="E257" s="15">
        <v>2.5099999999999998</v>
      </c>
      <c r="F257" s="16">
        <v>5.0000000000000001E-4</v>
      </c>
      <c r="G257" s="75"/>
    </row>
    <row r="258" spans="1:7" x14ac:dyDescent="0.25">
      <c r="A258" s="74" t="s">
        <v>1343</v>
      </c>
      <c r="B258" s="31" t="s">
        <v>1344</v>
      </c>
      <c r="C258" s="31" t="s">
        <v>1222</v>
      </c>
      <c r="D258" s="14">
        <v>255</v>
      </c>
      <c r="E258" s="15">
        <v>1.35</v>
      </c>
      <c r="F258" s="16">
        <v>2.9999999999999997E-4</v>
      </c>
      <c r="G258" s="75"/>
    </row>
    <row r="259" spans="1:7" x14ac:dyDescent="0.25">
      <c r="A259" s="76" t="s">
        <v>90</v>
      </c>
      <c r="B259" s="32"/>
      <c r="C259" s="32"/>
      <c r="D259" s="18"/>
      <c r="E259" s="35">
        <v>5002.75</v>
      </c>
      <c r="F259" s="36">
        <v>0.99570000000000003</v>
      </c>
      <c r="G259" s="77"/>
    </row>
    <row r="260" spans="1:7" x14ac:dyDescent="0.25">
      <c r="A260" s="76" t="s">
        <v>815</v>
      </c>
      <c r="B260" s="31"/>
      <c r="C260" s="31"/>
      <c r="D260" s="14"/>
      <c r="E260" s="15"/>
      <c r="F260" s="16"/>
      <c r="G260" s="75"/>
    </row>
    <row r="261" spans="1:7" x14ac:dyDescent="0.25">
      <c r="A261" s="76" t="s">
        <v>90</v>
      </c>
      <c r="B261" s="31"/>
      <c r="C261" s="31"/>
      <c r="D261" s="14"/>
      <c r="E261" s="37" t="s">
        <v>85</v>
      </c>
      <c r="F261" s="38" t="s">
        <v>85</v>
      </c>
      <c r="G261" s="75"/>
    </row>
    <row r="262" spans="1:7" x14ac:dyDescent="0.25">
      <c r="A262" s="78" t="s">
        <v>93</v>
      </c>
      <c r="B262" s="79"/>
      <c r="C262" s="79"/>
      <c r="D262" s="80"/>
      <c r="E262" s="28">
        <v>5002.75</v>
      </c>
      <c r="F262" s="29">
        <v>0.99570000000000003</v>
      </c>
      <c r="G262" s="77"/>
    </row>
    <row r="263" spans="1:7" x14ac:dyDescent="0.25">
      <c r="A263" s="74"/>
      <c r="B263" s="31"/>
      <c r="C263" s="31"/>
      <c r="D263" s="14"/>
      <c r="E263" s="15"/>
      <c r="F263" s="16"/>
      <c r="G263" s="75"/>
    </row>
    <row r="264" spans="1:7" x14ac:dyDescent="0.25">
      <c r="A264" s="74"/>
      <c r="B264" s="31"/>
      <c r="C264" s="31"/>
      <c r="D264" s="14"/>
      <c r="E264" s="15"/>
      <c r="F264" s="16"/>
      <c r="G264" s="75"/>
    </row>
    <row r="265" spans="1:7" x14ac:dyDescent="0.25">
      <c r="A265" s="76" t="s">
        <v>110</v>
      </c>
      <c r="B265" s="31"/>
      <c r="C265" s="31"/>
      <c r="D265" s="14"/>
      <c r="E265" s="15"/>
      <c r="F265" s="16"/>
      <c r="G265" s="75"/>
    </row>
    <row r="266" spans="1:7" x14ac:dyDescent="0.25">
      <c r="A266" s="74" t="s">
        <v>111</v>
      </c>
      <c r="B266" s="31"/>
      <c r="C266" s="31"/>
      <c r="D266" s="14"/>
      <c r="E266" s="15">
        <v>74.97</v>
      </c>
      <c r="F266" s="16">
        <v>1.49E-2</v>
      </c>
      <c r="G266" s="75">
        <v>3.5790000000000002E-2</v>
      </c>
    </row>
    <row r="267" spans="1:7" x14ac:dyDescent="0.25">
      <c r="A267" s="76" t="s">
        <v>90</v>
      </c>
      <c r="B267" s="32"/>
      <c r="C267" s="32"/>
      <c r="D267" s="18"/>
      <c r="E267" s="35">
        <v>74.97</v>
      </c>
      <c r="F267" s="36">
        <v>1.49E-2</v>
      </c>
      <c r="G267" s="77"/>
    </row>
    <row r="268" spans="1:7" x14ac:dyDescent="0.25">
      <c r="A268" s="74"/>
      <c r="B268" s="31"/>
      <c r="C268" s="31"/>
      <c r="D268" s="14"/>
      <c r="E268" s="15"/>
      <c r="F268" s="16"/>
      <c r="G268" s="75"/>
    </row>
    <row r="269" spans="1:7" x14ac:dyDescent="0.25">
      <c r="A269" s="78" t="s">
        <v>93</v>
      </c>
      <c r="B269" s="79"/>
      <c r="C269" s="79"/>
      <c r="D269" s="80"/>
      <c r="E269" s="35">
        <v>74.97</v>
      </c>
      <c r="F269" s="36">
        <v>1.49E-2</v>
      </c>
      <c r="G269" s="77"/>
    </row>
    <row r="270" spans="1:7" x14ac:dyDescent="0.25">
      <c r="A270" s="74" t="s">
        <v>112</v>
      </c>
      <c r="B270" s="31"/>
      <c r="C270" s="31"/>
      <c r="D270" s="14"/>
      <c r="E270" s="15">
        <v>7.3511999999999996E-3</v>
      </c>
      <c r="F270" s="53" t="s">
        <v>2022</v>
      </c>
      <c r="G270" s="75"/>
    </row>
    <row r="271" spans="1:7" x14ac:dyDescent="0.25">
      <c r="A271" s="74" t="s">
        <v>113</v>
      </c>
      <c r="B271" s="31"/>
      <c r="C271" s="31"/>
      <c r="D271" s="14"/>
      <c r="E271" s="24">
        <v>-51.737351199999999</v>
      </c>
      <c r="F271" s="25">
        <v>-1.0600999999999999E-2</v>
      </c>
      <c r="G271" s="75">
        <v>3.5790000000000002E-2</v>
      </c>
    </row>
    <row r="272" spans="1:7" x14ac:dyDescent="0.25">
      <c r="A272" s="81" t="s">
        <v>114</v>
      </c>
      <c r="B272" s="34"/>
      <c r="C272" s="34"/>
      <c r="D272" s="27"/>
      <c r="E272" s="28">
        <v>5025.99</v>
      </c>
      <c r="F272" s="29">
        <v>1</v>
      </c>
      <c r="G272" s="82"/>
    </row>
    <row r="273" spans="1:7" x14ac:dyDescent="0.25">
      <c r="A273" s="54"/>
      <c r="B273" s="56"/>
      <c r="C273" s="56"/>
      <c r="D273" s="56"/>
      <c r="E273" s="56"/>
      <c r="F273" s="56"/>
      <c r="G273" s="66"/>
    </row>
    <row r="274" spans="1:7" x14ac:dyDescent="0.25">
      <c r="A274" s="83" t="s">
        <v>2023</v>
      </c>
      <c r="B274" s="56"/>
      <c r="C274" s="56"/>
      <c r="D274" s="56"/>
      <c r="E274" s="56"/>
      <c r="F274" s="56"/>
      <c r="G274" s="66"/>
    </row>
    <row r="275" spans="1:7" x14ac:dyDescent="0.25">
      <c r="A275" s="54"/>
      <c r="B275" s="56"/>
      <c r="C275" s="56"/>
      <c r="D275" s="56"/>
      <c r="E275" s="56"/>
      <c r="F275" s="56"/>
      <c r="G275" s="66"/>
    </row>
    <row r="276" spans="1:7" x14ac:dyDescent="0.25">
      <c r="A276" s="83" t="s">
        <v>1476</v>
      </c>
      <c r="B276" s="56"/>
      <c r="C276" s="56"/>
      <c r="D276" s="56"/>
      <c r="E276" s="56"/>
      <c r="F276" s="56"/>
      <c r="G276" s="66"/>
    </row>
    <row r="277" spans="1:7" x14ac:dyDescent="0.25">
      <c r="A277" s="84" t="s">
        <v>1477</v>
      </c>
      <c r="B277" s="85" t="s">
        <v>85</v>
      </c>
      <c r="C277" s="56"/>
      <c r="D277" s="56"/>
      <c r="E277" s="56"/>
      <c r="F277" s="56"/>
      <c r="G277" s="66"/>
    </row>
    <row r="278" spans="1:7" x14ac:dyDescent="0.25">
      <c r="A278" s="54" t="s">
        <v>1626</v>
      </c>
      <c r="B278" s="56"/>
      <c r="C278" s="56"/>
      <c r="D278" s="56"/>
      <c r="E278" s="56"/>
      <c r="F278" s="56"/>
      <c r="G278" s="66"/>
    </row>
    <row r="279" spans="1:7" x14ac:dyDescent="0.25">
      <c r="A279" s="54" t="s">
        <v>1478</v>
      </c>
      <c r="B279" s="85" t="s">
        <v>1479</v>
      </c>
      <c r="C279" s="85" t="s">
        <v>1479</v>
      </c>
      <c r="D279" s="56"/>
      <c r="E279" s="56"/>
      <c r="F279" s="56"/>
      <c r="G279" s="66"/>
    </row>
    <row r="280" spans="1:7" x14ac:dyDescent="0.25">
      <c r="A280" s="54"/>
      <c r="B280" s="86">
        <v>44469</v>
      </c>
      <c r="C280" s="86">
        <v>44651</v>
      </c>
      <c r="D280" s="56"/>
      <c r="E280" s="56"/>
      <c r="F280" s="56"/>
      <c r="G280" s="66"/>
    </row>
    <row r="281" spans="1:7" x14ac:dyDescent="0.25">
      <c r="A281" s="54" t="s">
        <v>1483</v>
      </c>
      <c r="B281" s="85" t="s">
        <v>2013</v>
      </c>
      <c r="C281" s="56">
        <v>9.8401999999999994</v>
      </c>
      <c r="D281" s="56"/>
      <c r="E281" s="59"/>
      <c r="F281" s="56"/>
      <c r="G281" s="87"/>
    </row>
    <row r="282" spans="1:7" x14ac:dyDescent="0.25">
      <c r="A282" s="54" t="s">
        <v>1484</v>
      </c>
      <c r="B282" s="85" t="s">
        <v>2013</v>
      </c>
      <c r="C282" s="56">
        <v>9.8401999999999994</v>
      </c>
      <c r="D282" s="56"/>
      <c r="E282" s="59"/>
      <c r="F282" s="56"/>
      <c r="G282" s="87"/>
    </row>
    <row r="283" spans="1:7" x14ac:dyDescent="0.25">
      <c r="A283" s="54" t="s">
        <v>1503</v>
      </c>
      <c r="B283" s="85" t="s">
        <v>2013</v>
      </c>
      <c r="C283" s="56">
        <v>9.8183000000000007</v>
      </c>
      <c r="D283" s="56"/>
      <c r="E283" s="59"/>
      <c r="F283" s="56"/>
      <c r="G283" s="87"/>
    </row>
    <row r="284" spans="1:7" x14ac:dyDescent="0.25">
      <c r="A284" s="54" t="s">
        <v>1504</v>
      </c>
      <c r="B284" s="85" t="s">
        <v>2013</v>
      </c>
      <c r="C284" s="56">
        <v>9.8184000000000005</v>
      </c>
      <c r="D284" s="56"/>
      <c r="E284" s="59"/>
      <c r="F284" s="56"/>
      <c r="G284" s="87"/>
    </row>
    <row r="285" spans="1:7" x14ac:dyDescent="0.25">
      <c r="A285" s="54" t="s">
        <v>2014</v>
      </c>
      <c r="B285" s="85"/>
      <c r="C285" s="56"/>
      <c r="D285" s="56"/>
      <c r="E285" s="59"/>
      <c r="F285" s="56"/>
      <c r="G285" s="87"/>
    </row>
    <row r="286" spans="1:7" x14ac:dyDescent="0.25">
      <c r="A286" s="54"/>
      <c r="B286" s="56"/>
      <c r="C286" s="56"/>
      <c r="D286" s="56"/>
      <c r="E286" s="59"/>
      <c r="F286" s="56"/>
      <c r="G286" s="87"/>
    </row>
    <row r="287" spans="1:7" x14ac:dyDescent="0.25">
      <c r="A287" s="54" t="s">
        <v>2006</v>
      </c>
      <c r="B287" s="85" t="s">
        <v>85</v>
      </c>
      <c r="C287" s="56"/>
      <c r="D287" s="56"/>
      <c r="E287" s="56"/>
      <c r="F287" s="56"/>
      <c r="G287" s="66"/>
    </row>
    <row r="288" spans="1:7" x14ac:dyDescent="0.25">
      <c r="A288" s="54" t="s">
        <v>2008</v>
      </c>
      <c r="B288" s="85" t="s">
        <v>85</v>
      </c>
      <c r="C288" s="56"/>
      <c r="D288" s="56"/>
      <c r="E288" s="56"/>
      <c r="F288" s="56"/>
      <c r="G288" s="66"/>
    </row>
    <row r="289" spans="1:7" ht="18.75" customHeight="1" x14ac:dyDescent="0.25">
      <c r="A289" s="84" t="s">
        <v>2009</v>
      </c>
      <c r="B289" s="85" t="s">
        <v>85</v>
      </c>
      <c r="C289" s="56"/>
      <c r="D289" s="56"/>
      <c r="E289" s="56"/>
      <c r="F289" s="56"/>
      <c r="G289" s="66"/>
    </row>
    <row r="290" spans="1:7" x14ac:dyDescent="0.25">
      <c r="A290" s="84" t="s">
        <v>2010</v>
      </c>
      <c r="B290" s="85" t="s">
        <v>85</v>
      </c>
      <c r="C290" s="56"/>
      <c r="D290" s="56"/>
      <c r="E290" s="56"/>
      <c r="F290" s="56"/>
      <c r="G290" s="66"/>
    </row>
    <row r="291" spans="1:7" x14ac:dyDescent="0.25">
      <c r="A291" s="54" t="s">
        <v>1529</v>
      </c>
      <c r="B291" s="88" t="s">
        <v>85</v>
      </c>
      <c r="C291" s="56"/>
      <c r="D291" s="56"/>
      <c r="E291" s="56"/>
      <c r="F291" s="56"/>
      <c r="G291" s="66"/>
    </row>
    <row r="292" spans="1:7" ht="30" x14ac:dyDescent="0.25">
      <c r="A292" s="84" t="s">
        <v>2011</v>
      </c>
      <c r="B292" s="85" t="s">
        <v>85</v>
      </c>
      <c r="C292" s="56"/>
      <c r="D292" s="56"/>
      <c r="E292" s="56"/>
      <c r="F292" s="56"/>
      <c r="G292" s="66"/>
    </row>
    <row r="293" spans="1:7" ht="30" x14ac:dyDescent="0.25">
      <c r="A293" s="84" t="s">
        <v>1495</v>
      </c>
      <c r="B293" s="85" t="s">
        <v>85</v>
      </c>
      <c r="C293" s="56"/>
      <c r="D293" s="56"/>
      <c r="E293" s="56"/>
      <c r="F293" s="56"/>
      <c r="G293" s="66"/>
    </row>
    <row r="294" spans="1:7" x14ac:dyDescent="0.25">
      <c r="A294" s="54" t="s">
        <v>1607</v>
      </c>
      <c r="B294" s="85" t="s">
        <v>85</v>
      </c>
      <c r="C294" s="56"/>
      <c r="D294" s="56"/>
      <c r="E294" s="56"/>
      <c r="F294" s="56"/>
      <c r="G294" s="66"/>
    </row>
    <row r="295" spans="1:7" x14ac:dyDescent="0.25">
      <c r="A295" s="54" t="s">
        <v>1608</v>
      </c>
      <c r="B295" s="85" t="s">
        <v>85</v>
      </c>
      <c r="C295" s="56"/>
      <c r="D295" s="56"/>
      <c r="E295" s="56"/>
      <c r="F295" s="56"/>
      <c r="G295" s="66"/>
    </row>
    <row r="296" spans="1:7" ht="15.75" thickBot="1" x14ac:dyDescent="0.3">
      <c r="A296" s="89"/>
      <c r="B296" s="90"/>
      <c r="C296" s="90"/>
      <c r="D296" s="90"/>
      <c r="E296" s="90"/>
      <c r="F296" s="90"/>
      <c r="G296" s="91"/>
    </row>
    <row r="298" spans="1:7" ht="30" x14ac:dyDescent="0.25">
      <c r="A298" s="107" t="s">
        <v>2042</v>
      </c>
      <c r="B298" s="108" t="s">
        <v>2043</v>
      </c>
      <c r="C298" s="108" t="s">
        <v>2044</v>
      </c>
      <c r="D298" s="109" t="s">
        <v>2045</v>
      </c>
    </row>
    <row r="299" spans="1:7" ht="49.5" customHeight="1" x14ac:dyDescent="0.25">
      <c r="A299" s="110" t="str">
        <f>HYPERLINK("[EDEL_Portfolio Monthly 31-Mar-2022.xlsx]EELMIF!A1","Edelweiss Large &amp; Midcap Index Fund")</f>
        <v>Edelweiss Large &amp; Midcap Index Fund</v>
      </c>
      <c r="B299" s="114"/>
      <c r="C299" s="112" t="s">
        <v>2068</v>
      </c>
      <c r="D299" s="114"/>
    </row>
  </sheetData>
  <mergeCells count="2">
    <mergeCell ref="A3:G3"/>
    <mergeCell ref="A4:G4"/>
  </mergeCells>
  <pageMargins left="0.7" right="0.7" top="0.75" bottom="0.75" header="0.3" footer="0.3"/>
  <pageSetup orientation="portrait" horizontalDpi="300" verticalDpi="30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16"/>
  <sheetViews>
    <sheetView showGridLines="0" zoomScaleNormal="100" workbookViewId="0">
      <pane ySplit="6" topLeftCell="A1048562"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31.28515625" bestFit="1"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58</v>
      </c>
      <c r="B3" s="139"/>
      <c r="C3" s="139"/>
      <c r="D3" s="139"/>
      <c r="E3" s="139"/>
      <c r="F3" s="139"/>
      <c r="G3" s="140"/>
      <c r="H3" s="46" t="str">
        <f>HYPERLINK("[EDEL_Portfolio HY 31032022.xlsx]Index!A1","Index")</f>
        <v>Index</v>
      </c>
    </row>
    <row r="4" spans="1:8" ht="19.5" customHeight="1" x14ac:dyDescent="0.25">
      <c r="A4" s="141" t="s">
        <v>59</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6" t="s">
        <v>84</v>
      </c>
      <c r="B8" s="31"/>
      <c r="C8" s="31"/>
      <c r="D8" s="14"/>
      <c r="E8" s="15"/>
      <c r="F8" s="16"/>
      <c r="G8" s="75"/>
    </row>
    <row r="9" spans="1:8" x14ac:dyDescent="0.25">
      <c r="A9" s="76" t="s">
        <v>435</v>
      </c>
      <c r="B9" s="31"/>
      <c r="C9" s="31"/>
      <c r="D9" s="14"/>
      <c r="E9" s="15"/>
      <c r="F9" s="16"/>
      <c r="G9" s="75"/>
    </row>
    <row r="10" spans="1:8" x14ac:dyDescent="0.25">
      <c r="A10" s="74" t="s">
        <v>1249</v>
      </c>
      <c r="B10" s="31" t="s">
        <v>1250</v>
      </c>
      <c r="C10" s="31" t="s">
        <v>2025</v>
      </c>
      <c r="D10" s="14">
        <v>695000</v>
      </c>
      <c r="E10" s="15">
        <v>4722.18</v>
      </c>
      <c r="F10" s="16">
        <v>4.5600000000000002E-2</v>
      </c>
      <c r="G10" s="75"/>
    </row>
    <row r="11" spans="1:8" x14ac:dyDescent="0.25">
      <c r="A11" s="74" t="s">
        <v>1019</v>
      </c>
      <c r="B11" s="31" t="s">
        <v>1020</v>
      </c>
      <c r="C11" s="31" t="s">
        <v>1429</v>
      </c>
      <c r="D11" s="14">
        <v>139500</v>
      </c>
      <c r="E11" s="15">
        <v>4565.3500000000004</v>
      </c>
      <c r="F11" s="16">
        <v>4.41E-2</v>
      </c>
      <c r="G11" s="75"/>
    </row>
    <row r="12" spans="1:8" x14ac:dyDescent="0.25">
      <c r="A12" s="74" t="s">
        <v>684</v>
      </c>
      <c r="B12" s="31" t="s">
        <v>685</v>
      </c>
      <c r="C12" s="31" t="s">
        <v>450</v>
      </c>
      <c r="D12" s="14">
        <v>440000</v>
      </c>
      <c r="E12" s="15">
        <v>3747.48</v>
      </c>
      <c r="F12" s="16">
        <v>3.6200000000000003E-2</v>
      </c>
      <c r="G12" s="75"/>
    </row>
    <row r="13" spans="1:8" x14ac:dyDescent="0.25">
      <c r="A13" s="74" t="s">
        <v>474</v>
      </c>
      <c r="B13" s="31" t="s">
        <v>475</v>
      </c>
      <c r="C13" s="31" t="s">
        <v>465</v>
      </c>
      <c r="D13" s="14">
        <v>1101600</v>
      </c>
      <c r="E13" s="15">
        <v>3386.32</v>
      </c>
      <c r="F13" s="16">
        <v>3.27E-2</v>
      </c>
      <c r="G13" s="75"/>
    </row>
    <row r="14" spans="1:8" x14ac:dyDescent="0.25">
      <c r="A14" s="74" t="s">
        <v>1341</v>
      </c>
      <c r="B14" s="31" t="s">
        <v>1342</v>
      </c>
      <c r="C14" s="31" t="s">
        <v>677</v>
      </c>
      <c r="D14" s="14">
        <v>200000</v>
      </c>
      <c r="E14" s="15">
        <v>3379.1</v>
      </c>
      <c r="F14" s="16">
        <v>3.2599999999999997E-2</v>
      </c>
      <c r="G14" s="75"/>
    </row>
    <row r="15" spans="1:8" x14ac:dyDescent="0.25">
      <c r="A15" s="74" t="s">
        <v>1345</v>
      </c>
      <c r="B15" s="31" t="s">
        <v>1346</v>
      </c>
      <c r="C15" s="31" t="s">
        <v>501</v>
      </c>
      <c r="D15" s="14">
        <v>192000</v>
      </c>
      <c r="E15" s="15">
        <v>3367.2</v>
      </c>
      <c r="F15" s="16">
        <v>3.2500000000000001E-2</v>
      </c>
      <c r="G15" s="75"/>
    </row>
    <row r="16" spans="1:8" x14ac:dyDescent="0.25">
      <c r="A16" s="74" t="s">
        <v>1257</v>
      </c>
      <c r="B16" s="31" t="s">
        <v>1258</v>
      </c>
      <c r="C16" s="31" t="s">
        <v>450</v>
      </c>
      <c r="D16" s="14">
        <v>130000</v>
      </c>
      <c r="E16" s="15">
        <v>3340.29</v>
      </c>
      <c r="F16" s="16">
        <v>3.2300000000000002E-2</v>
      </c>
      <c r="G16" s="75"/>
    </row>
    <row r="17" spans="1:7" x14ac:dyDescent="0.25">
      <c r="A17" s="74" t="s">
        <v>1293</v>
      </c>
      <c r="B17" s="31" t="s">
        <v>1294</v>
      </c>
      <c r="C17" s="31" t="s">
        <v>2027</v>
      </c>
      <c r="D17" s="14">
        <v>265000</v>
      </c>
      <c r="E17" s="15">
        <v>3339.13</v>
      </c>
      <c r="F17" s="16">
        <v>3.2300000000000002E-2</v>
      </c>
      <c r="G17" s="75"/>
    </row>
    <row r="18" spans="1:7" x14ac:dyDescent="0.25">
      <c r="A18" s="74" t="s">
        <v>1042</v>
      </c>
      <c r="B18" s="31" t="s">
        <v>1043</v>
      </c>
      <c r="C18" s="31" t="s">
        <v>514</v>
      </c>
      <c r="D18" s="14">
        <v>140000</v>
      </c>
      <c r="E18" s="15">
        <v>3242.19</v>
      </c>
      <c r="F18" s="16">
        <v>3.1300000000000001E-2</v>
      </c>
      <c r="G18" s="75"/>
    </row>
    <row r="19" spans="1:7" x14ac:dyDescent="0.25">
      <c r="A19" s="74" t="s">
        <v>1295</v>
      </c>
      <c r="B19" s="31" t="s">
        <v>1296</v>
      </c>
      <c r="C19" s="31" t="s">
        <v>2027</v>
      </c>
      <c r="D19" s="14">
        <v>260000</v>
      </c>
      <c r="E19" s="15">
        <v>2747.29</v>
      </c>
      <c r="F19" s="16">
        <v>2.6499999999999999E-2</v>
      </c>
      <c r="G19" s="75"/>
    </row>
    <row r="20" spans="1:7" x14ac:dyDescent="0.25">
      <c r="A20" s="74" t="s">
        <v>1347</v>
      </c>
      <c r="B20" s="31" t="s">
        <v>1348</v>
      </c>
      <c r="C20" s="31" t="s">
        <v>677</v>
      </c>
      <c r="D20" s="14">
        <v>270000</v>
      </c>
      <c r="E20" s="15">
        <v>2731.05</v>
      </c>
      <c r="F20" s="16">
        <v>2.64E-2</v>
      </c>
      <c r="G20" s="75"/>
    </row>
    <row r="21" spans="1:7" x14ac:dyDescent="0.25">
      <c r="A21" s="74" t="s">
        <v>1349</v>
      </c>
      <c r="B21" s="31" t="s">
        <v>1350</v>
      </c>
      <c r="C21" s="31" t="s">
        <v>615</v>
      </c>
      <c r="D21" s="14">
        <v>440000</v>
      </c>
      <c r="E21" s="15">
        <v>2693.68</v>
      </c>
      <c r="F21" s="16">
        <v>2.5999999999999999E-2</v>
      </c>
      <c r="G21" s="75"/>
    </row>
    <row r="22" spans="1:7" x14ac:dyDescent="0.25">
      <c r="A22" s="74" t="s">
        <v>1351</v>
      </c>
      <c r="B22" s="31" t="s">
        <v>1352</v>
      </c>
      <c r="C22" s="31" t="s">
        <v>2027</v>
      </c>
      <c r="D22" s="14">
        <v>173000</v>
      </c>
      <c r="E22" s="15">
        <v>2613.5100000000002</v>
      </c>
      <c r="F22" s="16">
        <v>2.52E-2</v>
      </c>
      <c r="G22" s="75"/>
    </row>
    <row r="23" spans="1:7" x14ac:dyDescent="0.25">
      <c r="A23" s="74" t="s">
        <v>1225</v>
      </c>
      <c r="B23" s="31" t="s">
        <v>1226</v>
      </c>
      <c r="C23" s="31" t="s">
        <v>573</v>
      </c>
      <c r="D23" s="14">
        <v>370000</v>
      </c>
      <c r="E23" s="15">
        <v>2600.92</v>
      </c>
      <c r="F23" s="16">
        <v>2.5100000000000001E-2</v>
      </c>
      <c r="G23" s="75"/>
    </row>
    <row r="24" spans="1:7" x14ac:dyDescent="0.25">
      <c r="A24" s="74" t="s">
        <v>1325</v>
      </c>
      <c r="B24" s="31" t="s">
        <v>1326</v>
      </c>
      <c r="C24" s="31" t="s">
        <v>2030</v>
      </c>
      <c r="D24" s="14">
        <v>128000</v>
      </c>
      <c r="E24" s="15">
        <v>2550.27</v>
      </c>
      <c r="F24" s="16">
        <v>2.46E-2</v>
      </c>
      <c r="G24" s="75"/>
    </row>
    <row r="25" spans="1:7" x14ac:dyDescent="0.25">
      <c r="A25" s="74" t="s">
        <v>1353</v>
      </c>
      <c r="B25" s="31" t="s">
        <v>1354</v>
      </c>
      <c r="C25" s="31" t="s">
        <v>608</v>
      </c>
      <c r="D25" s="14">
        <v>1450000</v>
      </c>
      <c r="E25" s="15">
        <v>2541.13</v>
      </c>
      <c r="F25" s="16">
        <v>2.4500000000000001E-2</v>
      </c>
      <c r="G25" s="75"/>
    </row>
    <row r="26" spans="1:7" x14ac:dyDescent="0.25">
      <c r="A26" s="74" t="s">
        <v>1355</v>
      </c>
      <c r="B26" s="31" t="s">
        <v>1356</v>
      </c>
      <c r="C26" s="31" t="s">
        <v>494</v>
      </c>
      <c r="D26" s="14">
        <v>164052</v>
      </c>
      <c r="E26" s="15">
        <v>2516.31</v>
      </c>
      <c r="F26" s="16">
        <v>2.4299999999999999E-2</v>
      </c>
      <c r="G26" s="75"/>
    </row>
    <row r="27" spans="1:7" x14ac:dyDescent="0.25">
      <c r="A27" s="74" t="s">
        <v>1337</v>
      </c>
      <c r="B27" s="31" t="s">
        <v>1338</v>
      </c>
      <c r="C27" s="31" t="s">
        <v>677</v>
      </c>
      <c r="D27" s="14">
        <v>3000000</v>
      </c>
      <c r="E27" s="15">
        <v>2469</v>
      </c>
      <c r="F27" s="16">
        <v>2.3800000000000002E-2</v>
      </c>
      <c r="G27" s="75"/>
    </row>
    <row r="28" spans="1:7" x14ac:dyDescent="0.25">
      <c r="A28" s="74" t="s">
        <v>571</v>
      </c>
      <c r="B28" s="31" t="s">
        <v>572</v>
      </c>
      <c r="C28" s="31" t="s">
        <v>573</v>
      </c>
      <c r="D28" s="14">
        <v>119800</v>
      </c>
      <c r="E28" s="15">
        <v>2438.83</v>
      </c>
      <c r="F28" s="16">
        <v>2.3599999999999999E-2</v>
      </c>
      <c r="G28" s="75"/>
    </row>
    <row r="29" spans="1:7" x14ac:dyDescent="0.25">
      <c r="A29" s="74" t="s">
        <v>1054</v>
      </c>
      <c r="B29" s="31" t="s">
        <v>1055</v>
      </c>
      <c r="C29" s="31" t="s">
        <v>615</v>
      </c>
      <c r="D29" s="14">
        <v>66038</v>
      </c>
      <c r="E29" s="15">
        <v>2326.6799999999998</v>
      </c>
      <c r="F29" s="16">
        <v>2.2499999999999999E-2</v>
      </c>
      <c r="G29" s="75"/>
    </row>
    <row r="30" spans="1:7" x14ac:dyDescent="0.25">
      <c r="A30" s="74" t="s">
        <v>1357</v>
      </c>
      <c r="B30" s="31" t="s">
        <v>1358</v>
      </c>
      <c r="C30" s="31" t="s">
        <v>2027</v>
      </c>
      <c r="D30" s="14">
        <v>545910</v>
      </c>
      <c r="E30" s="15">
        <v>2307.83</v>
      </c>
      <c r="F30" s="16">
        <v>2.23E-2</v>
      </c>
      <c r="G30" s="75"/>
    </row>
    <row r="31" spans="1:7" x14ac:dyDescent="0.25">
      <c r="A31" s="74" t="s">
        <v>1208</v>
      </c>
      <c r="B31" s="31" t="s">
        <v>1209</v>
      </c>
      <c r="C31" s="31" t="s">
        <v>677</v>
      </c>
      <c r="D31" s="14">
        <v>229934</v>
      </c>
      <c r="E31" s="15">
        <v>2223.35</v>
      </c>
      <c r="F31" s="16">
        <v>2.1499999999999998E-2</v>
      </c>
      <c r="G31" s="75"/>
    </row>
    <row r="32" spans="1:7" x14ac:dyDescent="0.25">
      <c r="A32" s="74" t="s">
        <v>1220</v>
      </c>
      <c r="B32" s="31" t="s">
        <v>1221</v>
      </c>
      <c r="C32" s="31" t="s">
        <v>1222</v>
      </c>
      <c r="D32" s="14">
        <v>295000</v>
      </c>
      <c r="E32" s="15">
        <v>2048.19</v>
      </c>
      <c r="F32" s="16">
        <v>1.9800000000000002E-2</v>
      </c>
      <c r="G32" s="75"/>
    </row>
    <row r="33" spans="1:7" x14ac:dyDescent="0.25">
      <c r="A33" s="74" t="s">
        <v>485</v>
      </c>
      <c r="B33" s="31" t="s">
        <v>486</v>
      </c>
      <c r="C33" s="31" t="s">
        <v>487</v>
      </c>
      <c r="D33" s="14">
        <v>374000</v>
      </c>
      <c r="E33" s="15">
        <v>2012.87</v>
      </c>
      <c r="F33" s="16">
        <v>1.9400000000000001E-2</v>
      </c>
      <c r="G33" s="75"/>
    </row>
    <row r="34" spans="1:7" x14ac:dyDescent="0.25">
      <c r="A34" s="74" t="s">
        <v>1359</v>
      </c>
      <c r="B34" s="31" t="s">
        <v>1360</v>
      </c>
      <c r="C34" s="31" t="s">
        <v>501</v>
      </c>
      <c r="D34" s="14">
        <v>260000</v>
      </c>
      <c r="E34" s="15">
        <v>1827.54</v>
      </c>
      <c r="F34" s="16">
        <v>1.77E-2</v>
      </c>
      <c r="G34" s="75"/>
    </row>
    <row r="35" spans="1:7" x14ac:dyDescent="0.25">
      <c r="A35" s="74" t="s">
        <v>1044</v>
      </c>
      <c r="B35" s="31" t="s">
        <v>1045</v>
      </c>
      <c r="C35" s="31" t="s">
        <v>450</v>
      </c>
      <c r="D35" s="14">
        <v>535000</v>
      </c>
      <c r="E35" s="15">
        <v>1821.94</v>
      </c>
      <c r="F35" s="16">
        <v>1.7600000000000001E-2</v>
      </c>
      <c r="G35" s="75"/>
    </row>
    <row r="36" spans="1:7" x14ac:dyDescent="0.25">
      <c r="A36" s="74" t="s">
        <v>1137</v>
      </c>
      <c r="B36" s="31" t="s">
        <v>1138</v>
      </c>
      <c r="C36" s="31" t="s">
        <v>450</v>
      </c>
      <c r="D36" s="14">
        <v>210000</v>
      </c>
      <c r="E36" s="15">
        <v>1784.37</v>
      </c>
      <c r="F36" s="16">
        <v>1.72E-2</v>
      </c>
      <c r="G36" s="75"/>
    </row>
    <row r="37" spans="1:7" x14ac:dyDescent="0.25">
      <c r="A37" s="74" t="s">
        <v>1255</v>
      </c>
      <c r="B37" s="31" t="s">
        <v>1256</v>
      </c>
      <c r="C37" s="31" t="s">
        <v>677</v>
      </c>
      <c r="D37" s="14">
        <v>44500</v>
      </c>
      <c r="E37" s="15">
        <v>1781.49</v>
      </c>
      <c r="F37" s="16">
        <v>1.72E-2</v>
      </c>
      <c r="G37" s="75"/>
    </row>
    <row r="38" spans="1:7" x14ac:dyDescent="0.25">
      <c r="A38" s="74" t="s">
        <v>561</v>
      </c>
      <c r="B38" s="31" t="s">
        <v>562</v>
      </c>
      <c r="C38" s="31" t="s">
        <v>487</v>
      </c>
      <c r="D38" s="14">
        <v>153250</v>
      </c>
      <c r="E38" s="15">
        <v>1718.62</v>
      </c>
      <c r="F38" s="16">
        <v>1.66E-2</v>
      </c>
      <c r="G38" s="75"/>
    </row>
    <row r="39" spans="1:7" x14ac:dyDescent="0.25">
      <c r="A39" s="74" t="s">
        <v>1327</v>
      </c>
      <c r="B39" s="31" t="s">
        <v>1328</v>
      </c>
      <c r="C39" s="31" t="s">
        <v>487</v>
      </c>
      <c r="D39" s="14">
        <v>240000</v>
      </c>
      <c r="E39" s="15">
        <v>1705.08</v>
      </c>
      <c r="F39" s="16">
        <v>1.6500000000000001E-2</v>
      </c>
      <c r="G39" s="75"/>
    </row>
    <row r="40" spans="1:7" x14ac:dyDescent="0.25">
      <c r="A40" s="74" t="s">
        <v>1361</v>
      </c>
      <c r="B40" s="31" t="s">
        <v>1362</v>
      </c>
      <c r="C40" s="31" t="s">
        <v>677</v>
      </c>
      <c r="D40" s="14">
        <v>165000</v>
      </c>
      <c r="E40" s="15">
        <v>1673.93</v>
      </c>
      <c r="F40" s="16">
        <v>1.6199999999999999E-2</v>
      </c>
      <c r="G40" s="75"/>
    </row>
    <row r="41" spans="1:7" x14ac:dyDescent="0.25">
      <c r="A41" s="74" t="s">
        <v>807</v>
      </c>
      <c r="B41" s="31" t="s">
        <v>808</v>
      </c>
      <c r="C41" s="31" t="s">
        <v>558</v>
      </c>
      <c r="D41" s="14">
        <v>68600</v>
      </c>
      <c r="E41" s="15">
        <v>1621.98</v>
      </c>
      <c r="F41" s="16">
        <v>1.5699999999999999E-2</v>
      </c>
      <c r="G41" s="75"/>
    </row>
    <row r="42" spans="1:7" x14ac:dyDescent="0.25">
      <c r="A42" s="74" t="s">
        <v>1315</v>
      </c>
      <c r="B42" s="31" t="s">
        <v>1316</v>
      </c>
      <c r="C42" s="31" t="s">
        <v>480</v>
      </c>
      <c r="D42" s="14">
        <v>410000</v>
      </c>
      <c r="E42" s="15">
        <v>1619.3</v>
      </c>
      <c r="F42" s="16">
        <v>1.5599999999999999E-2</v>
      </c>
      <c r="G42" s="75"/>
    </row>
    <row r="43" spans="1:7" x14ac:dyDescent="0.25">
      <c r="A43" s="74" t="s">
        <v>1363</v>
      </c>
      <c r="B43" s="31" t="s">
        <v>1364</v>
      </c>
      <c r="C43" s="31" t="s">
        <v>2030</v>
      </c>
      <c r="D43" s="14">
        <v>160000</v>
      </c>
      <c r="E43" s="15">
        <v>1458.56</v>
      </c>
      <c r="F43" s="16">
        <v>1.41E-2</v>
      </c>
      <c r="G43" s="75"/>
    </row>
    <row r="44" spans="1:7" x14ac:dyDescent="0.25">
      <c r="A44" s="74" t="s">
        <v>1365</v>
      </c>
      <c r="B44" s="31" t="s">
        <v>1366</v>
      </c>
      <c r="C44" s="31" t="s">
        <v>2028</v>
      </c>
      <c r="D44" s="14">
        <v>90000</v>
      </c>
      <c r="E44" s="15">
        <v>1445.27</v>
      </c>
      <c r="F44" s="16">
        <v>1.4E-2</v>
      </c>
      <c r="G44" s="75"/>
    </row>
    <row r="45" spans="1:7" x14ac:dyDescent="0.25">
      <c r="A45" s="74" t="s">
        <v>1058</v>
      </c>
      <c r="B45" s="31" t="s">
        <v>1059</v>
      </c>
      <c r="C45" s="31" t="s">
        <v>514</v>
      </c>
      <c r="D45" s="14">
        <v>225000</v>
      </c>
      <c r="E45" s="15">
        <v>1397.81</v>
      </c>
      <c r="F45" s="16">
        <v>1.35E-2</v>
      </c>
      <c r="G45" s="75"/>
    </row>
    <row r="46" spans="1:7" x14ac:dyDescent="0.25">
      <c r="A46" s="74" t="s">
        <v>1367</v>
      </c>
      <c r="B46" s="31" t="s">
        <v>1368</v>
      </c>
      <c r="C46" s="31" t="s">
        <v>2035</v>
      </c>
      <c r="D46" s="14">
        <v>180078</v>
      </c>
      <c r="E46" s="15">
        <v>1379.94</v>
      </c>
      <c r="F46" s="16">
        <v>1.3299999999999999E-2</v>
      </c>
      <c r="G46" s="75"/>
    </row>
    <row r="47" spans="1:7" x14ac:dyDescent="0.25">
      <c r="A47" s="74" t="s">
        <v>1369</v>
      </c>
      <c r="B47" s="31" t="s">
        <v>1370</v>
      </c>
      <c r="C47" s="31" t="s">
        <v>514</v>
      </c>
      <c r="D47" s="14">
        <v>200000</v>
      </c>
      <c r="E47" s="15">
        <v>1067.7</v>
      </c>
      <c r="F47" s="16">
        <v>1.03E-2</v>
      </c>
      <c r="G47" s="75"/>
    </row>
    <row r="48" spans="1:7" x14ac:dyDescent="0.25">
      <c r="A48" s="74" t="s">
        <v>1371</v>
      </c>
      <c r="B48" s="31" t="s">
        <v>1372</v>
      </c>
      <c r="C48" s="31" t="s">
        <v>2028</v>
      </c>
      <c r="D48" s="14">
        <v>231000</v>
      </c>
      <c r="E48" s="15">
        <v>1033.1500000000001</v>
      </c>
      <c r="F48" s="16">
        <v>0.01</v>
      </c>
      <c r="G48" s="75"/>
    </row>
    <row r="49" spans="1:7" x14ac:dyDescent="0.25">
      <c r="A49" s="74" t="s">
        <v>1373</v>
      </c>
      <c r="B49" s="31" t="s">
        <v>1374</v>
      </c>
      <c r="C49" s="31" t="s">
        <v>573</v>
      </c>
      <c r="D49" s="14">
        <v>200000</v>
      </c>
      <c r="E49" s="15">
        <v>876.3</v>
      </c>
      <c r="F49" s="16">
        <v>8.5000000000000006E-3</v>
      </c>
      <c r="G49" s="75"/>
    </row>
    <row r="50" spans="1:7" x14ac:dyDescent="0.25">
      <c r="A50" s="74" t="s">
        <v>1229</v>
      </c>
      <c r="B50" s="31" t="s">
        <v>1230</v>
      </c>
      <c r="C50" s="31" t="s">
        <v>443</v>
      </c>
      <c r="D50" s="14">
        <v>940000</v>
      </c>
      <c r="E50" s="15">
        <v>790.54</v>
      </c>
      <c r="F50" s="16">
        <v>7.6E-3</v>
      </c>
      <c r="G50" s="75"/>
    </row>
    <row r="51" spans="1:7" x14ac:dyDescent="0.25">
      <c r="A51" s="74" t="s">
        <v>1375</v>
      </c>
      <c r="B51" s="31" t="s">
        <v>1376</v>
      </c>
      <c r="C51" s="31" t="s">
        <v>2027</v>
      </c>
      <c r="D51" s="14">
        <v>45000</v>
      </c>
      <c r="E51" s="15">
        <v>694.04</v>
      </c>
      <c r="F51" s="16">
        <v>6.7000000000000002E-3</v>
      </c>
      <c r="G51" s="75"/>
    </row>
    <row r="52" spans="1:7" x14ac:dyDescent="0.25">
      <c r="A52" s="74" t="s">
        <v>1331</v>
      </c>
      <c r="B52" s="31" t="s">
        <v>1332</v>
      </c>
      <c r="C52" s="31" t="s">
        <v>514</v>
      </c>
      <c r="D52" s="14">
        <v>25024</v>
      </c>
      <c r="E52" s="15">
        <v>537.03</v>
      </c>
      <c r="F52" s="16">
        <v>5.1999999999999998E-3</v>
      </c>
      <c r="G52" s="75"/>
    </row>
    <row r="53" spans="1:7" x14ac:dyDescent="0.25">
      <c r="A53" s="74" t="s">
        <v>1377</v>
      </c>
      <c r="B53" s="31" t="s">
        <v>1378</v>
      </c>
      <c r="C53" s="31" t="s">
        <v>573</v>
      </c>
      <c r="D53" s="14">
        <v>90000</v>
      </c>
      <c r="E53" s="15">
        <v>439.83</v>
      </c>
      <c r="F53" s="16">
        <v>4.1999999999999997E-3</v>
      </c>
      <c r="G53" s="75"/>
    </row>
    <row r="54" spans="1:7" x14ac:dyDescent="0.25">
      <c r="A54" s="76" t="s">
        <v>90</v>
      </c>
      <c r="B54" s="32"/>
      <c r="C54" s="32"/>
      <c r="D54" s="18"/>
      <c r="E54" s="35">
        <v>96584.57</v>
      </c>
      <c r="F54" s="36">
        <v>0.93279999999999996</v>
      </c>
      <c r="G54" s="77"/>
    </row>
    <row r="55" spans="1:7" x14ac:dyDescent="0.25">
      <c r="A55" s="76" t="s">
        <v>815</v>
      </c>
      <c r="B55" s="31"/>
      <c r="C55" s="31"/>
      <c r="D55" s="14"/>
      <c r="E55" s="15"/>
      <c r="F55" s="16"/>
      <c r="G55" s="75"/>
    </row>
    <row r="56" spans="1:7" x14ac:dyDescent="0.25">
      <c r="A56" s="76" t="s">
        <v>90</v>
      </c>
      <c r="B56" s="31"/>
      <c r="C56" s="31"/>
      <c r="D56" s="14"/>
      <c r="E56" s="37" t="s">
        <v>85</v>
      </c>
      <c r="F56" s="38" t="s">
        <v>85</v>
      </c>
      <c r="G56" s="75"/>
    </row>
    <row r="57" spans="1:7" x14ac:dyDescent="0.25">
      <c r="A57" s="78" t="s">
        <v>93</v>
      </c>
      <c r="B57" s="79"/>
      <c r="C57" s="79"/>
      <c r="D57" s="80"/>
      <c r="E57" s="28">
        <v>96584.57</v>
      </c>
      <c r="F57" s="29">
        <v>0.93279999999999996</v>
      </c>
      <c r="G57" s="77"/>
    </row>
    <row r="58" spans="1:7" x14ac:dyDescent="0.25">
      <c r="A58" s="74"/>
      <c r="B58" s="31"/>
      <c r="C58" s="31"/>
      <c r="D58" s="14"/>
      <c r="E58" s="15"/>
      <c r="F58" s="16"/>
      <c r="G58" s="75"/>
    </row>
    <row r="59" spans="1:7" x14ac:dyDescent="0.25">
      <c r="A59" s="76" t="s">
        <v>816</v>
      </c>
      <c r="B59" s="31"/>
      <c r="C59" s="31"/>
      <c r="D59" s="14"/>
      <c r="E59" s="15"/>
      <c r="F59" s="16"/>
      <c r="G59" s="75"/>
    </row>
    <row r="60" spans="1:7" x14ac:dyDescent="0.25">
      <c r="A60" s="76" t="s">
        <v>817</v>
      </c>
      <c r="B60" s="31"/>
      <c r="C60" s="31"/>
      <c r="D60" s="14"/>
      <c r="E60" s="15"/>
      <c r="F60" s="16"/>
      <c r="G60" s="75"/>
    </row>
    <row r="61" spans="1:7" x14ac:dyDescent="0.25">
      <c r="A61" s="74" t="s">
        <v>821</v>
      </c>
      <c r="B61" s="31"/>
      <c r="C61" s="31"/>
      <c r="D61" s="14">
        <v>111300</v>
      </c>
      <c r="E61" s="15">
        <v>2646.94</v>
      </c>
      <c r="F61" s="16">
        <v>2.5568E-2</v>
      </c>
      <c r="G61" s="75"/>
    </row>
    <row r="62" spans="1:7" x14ac:dyDescent="0.25">
      <c r="A62" s="74" t="s">
        <v>1080</v>
      </c>
      <c r="B62" s="31"/>
      <c r="C62" s="31"/>
      <c r="D62" s="14">
        <v>7950</v>
      </c>
      <c r="E62" s="15">
        <v>1394.78</v>
      </c>
      <c r="F62" s="16">
        <v>1.3473000000000001E-2</v>
      </c>
      <c r="G62" s="75"/>
    </row>
    <row r="63" spans="1:7" x14ac:dyDescent="0.25">
      <c r="A63" s="74" t="s">
        <v>1379</v>
      </c>
      <c r="B63" s="31"/>
      <c r="C63" s="31"/>
      <c r="D63" s="14">
        <v>31375</v>
      </c>
      <c r="E63" s="15">
        <v>1353.19</v>
      </c>
      <c r="F63" s="16">
        <v>1.3070999999999999E-2</v>
      </c>
      <c r="G63" s="75"/>
    </row>
    <row r="64" spans="1:7" x14ac:dyDescent="0.25">
      <c r="A64" s="74" t="s">
        <v>1380</v>
      </c>
      <c r="B64" s="31"/>
      <c r="C64" s="31"/>
      <c r="D64" s="14">
        <v>39400</v>
      </c>
      <c r="E64" s="15">
        <v>848.66</v>
      </c>
      <c r="F64" s="16">
        <v>8.1969999999999994E-3</v>
      </c>
      <c r="G64" s="75"/>
    </row>
    <row r="65" spans="1:7" x14ac:dyDescent="0.25">
      <c r="A65" s="74" t="s">
        <v>937</v>
      </c>
      <c r="B65" s="31"/>
      <c r="C65" s="31"/>
      <c r="D65" s="14">
        <v>2200</v>
      </c>
      <c r="E65" s="15">
        <v>44.88</v>
      </c>
      <c r="F65" s="16">
        <v>4.3300000000000001E-4</v>
      </c>
      <c r="G65" s="75"/>
    </row>
    <row r="66" spans="1:7" x14ac:dyDescent="0.25">
      <c r="A66" s="76" t="s">
        <v>90</v>
      </c>
      <c r="B66" s="32"/>
      <c r="C66" s="32"/>
      <c r="D66" s="18"/>
      <c r="E66" s="35">
        <v>6288.45</v>
      </c>
      <c r="F66" s="36">
        <v>6.0741999999999997E-2</v>
      </c>
      <c r="G66" s="77"/>
    </row>
    <row r="67" spans="1:7" x14ac:dyDescent="0.25">
      <c r="A67" s="74"/>
      <c r="B67" s="31"/>
      <c r="C67" s="31"/>
      <c r="D67" s="14"/>
      <c r="E67" s="15"/>
      <c r="F67" s="16"/>
      <c r="G67" s="75"/>
    </row>
    <row r="68" spans="1:7" x14ac:dyDescent="0.25">
      <c r="A68" s="74"/>
      <c r="B68" s="31"/>
      <c r="C68" s="31"/>
      <c r="D68" s="14"/>
      <c r="E68" s="15"/>
      <c r="F68" s="16"/>
      <c r="G68" s="75"/>
    </row>
    <row r="69" spans="1:7" x14ac:dyDescent="0.25">
      <c r="A69" s="74"/>
      <c r="B69" s="31"/>
      <c r="C69" s="31"/>
      <c r="D69" s="14"/>
      <c r="E69" s="15"/>
      <c r="F69" s="16"/>
      <c r="G69" s="75"/>
    </row>
    <row r="70" spans="1:7" x14ac:dyDescent="0.25">
      <c r="A70" s="78" t="s">
        <v>93</v>
      </c>
      <c r="B70" s="79"/>
      <c r="C70" s="79"/>
      <c r="D70" s="80"/>
      <c r="E70" s="35">
        <v>6288.45</v>
      </c>
      <c r="F70" s="36">
        <v>6.0741999999999997E-2</v>
      </c>
      <c r="G70" s="77"/>
    </row>
    <row r="71" spans="1:7" x14ac:dyDescent="0.25">
      <c r="A71" s="74"/>
      <c r="B71" s="31"/>
      <c r="C71" s="31"/>
      <c r="D71" s="14"/>
      <c r="E71" s="15"/>
      <c r="F71" s="16"/>
      <c r="G71" s="75"/>
    </row>
    <row r="72" spans="1:7" x14ac:dyDescent="0.25">
      <c r="A72" s="76" t="s">
        <v>94</v>
      </c>
      <c r="B72" s="31"/>
      <c r="C72" s="31"/>
      <c r="D72" s="14"/>
      <c r="E72" s="15"/>
      <c r="F72" s="16"/>
      <c r="G72" s="75"/>
    </row>
    <row r="73" spans="1:7" x14ac:dyDescent="0.25">
      <c r="A73" s="74"/>
      <c r="B73" s="31"/>
      <c r="C73" s="31"/>
      <c r="D73" s="14"/>
      <c r="E73" s="15"/>
      <c r="F73" s="16"/>
      <c r="G73" s="75"/>
    </row>
    <row r="74" spans="1:7" x14ac:dyDescent="0.25">
      <c r="A74" s="76" t="s">
        <v>330</v>
      </c>
      <c r="B74" s="31"/>
      <c r="C74" s="31"/>
      <c r="D74" s="14"/>
      <c r="E74" s="15"/>
      <c r="F74" s="16"/>
      <c r="G74" s="75"/>
    </row>
    <row r="75" spans="1:7" x14ac:dyDescent="0.25">
      <c r="A75" s="74" t="s">
        <v>1966</v>
      </c>
      <c r="B75" s="31" t="s">
        <v>1381</v>
      </c>
      <c r="C75" s="31" t="s">
        <v>197</v>
      </c>
      <c r="D75" s="14">
        <v>1000000</v>
      </c>
      <c r="E75" s="15">
        <v>998.21</v>
      </c>
      <c r="F75" s="16">
        <v>9.5999999999999992E-3</v>
      </c>
      <c r="G75" s="75">
        <v>3.2744000000000002E-2</v>
      </c>
    </row>
    <row r="76" spans="1:7" x14ac:dyDescent="0.25">
      <c r="A76" s="74" t="s">
        <v>1962</v>
      </c>
      <c r="B76" s="31" t="s">
        <v>1107</v>
      </c>
      <c r="C76" s="31" t="s">
        <v>197</v>
      </c>
      <c r="D76" s="14">
        <v>800000</v>
      </c>
      <c r="E76" s="15">
        <v>794.38</v>
      </c>
      <c r="F76" s="16">
        <v>7.7000000000000002E-3</v>
      </c>
      <c r="G76" s="75">
        <v>3.7402999999999999E-2</v>
      </c>
    </row>
    <row r="77" spans="1:7" x14ac:dyDescent="0.25">
      <c r="A77" s="76" t="s">
        <v>90</v>
      </c>
      <c r="B77" s="32"/>
      <c r="C77" s="32"/>
      <c r="D77" s="18"/>
      <c r="E77" s="35">
        <v>1792.59</v>
      </c>
      <c r="F77" s="36">
        <v>1.7299999999999999E-2</v>
      </c>
      <c r="G77" s="77"/>
    </row>
    <row r="78" spans="1:7" x14ac:dyDescent="0.25">
      <c r="A78" s="74"/>
      <c r="B78" s="31"/>
      <c r="C78" s="31"/>
      <c r="D78" s="14"/>
      <c r="E78" s="15"/>
      <c r="F78" s="16"/>
      <c r="G78" s="75"/>
    </row>
    <row r="79" spans="1:7" x14ac:dyDescent="0.25">
      <c r="A79" s="78" t="s">
        <v>93</v>
      </c>
      <c r="B79" s="79"/>
      <c r="C79" s="79"/>
      <c r="D79" s="80"/>
      <c r="E79" s="35">
        <v>1792.59</v>
      </c>
      <c r="F79" s="36">
        <v>1.7299999999999999E-2</v>
      </c>
      <c r="G79" s="77"/>
    </row>
    <row r="80" spans="1:7" x14ac:dyDescent="0.25">
      <c r="A80" s="74"/>
      <c r="B80" s="31"/>
      <c r="C80" s="31"/>
      <c r="D80" s="14"/>
      <c r="E80" s="15"/>
      <c r="F80" s="16"/>
      <c r="G80" s="75"/>
    </row>
    <row r="81" spans="1:7" x14ac:dyDescent="0.25">
      <c r="A81" s="74"/>
      <c r="B81" s="31"/>
      <c r="C81" s="31"/>
      <c r="D81" s="14"/>
      <c r="E81" s="15"/>
      <c r="F81" s="16"/>
      <c r="G81" s="75"/>
    </row>
    <row r="82" spans="1:7" x14ac:dyDescent="0.25">
      <c r="A82" s="76" t="s">
        <v>110</v>
      </c>
      <c r="B82" s="31"/>
      <c r="C82" s="31"/>
      <c r="D82" s="14"/>
      <c r="E82" s="15"/>
      <c r="F82" s="16"/>
      <c r="G82" s="75"/>
    </row>
    <row r="83" spans="1:7" x14ac:dyDescent="0.25">
      <c r="A83" s="74" t="s">
        <v>111</v>
      </c>
      <c r="B83" s="31"/>
      <c r="C83" s="31"/>
      <c r="D83" s="14"/>
      <c r="E83" s="15">
        <v>10695.8</v>
      </c>
      <c r="F83" s="16">
        <v>0.1033</v>
      </c>
      <c r="G83" s="75">
        <v>3.5790000000000002E-2</v>
      </c>
    </row>
    <row r="84" spans="1:7" x14ac:dyDescent="0.25">
      <c r="A84" s="76" t="s">
        <v>90</v>
      </c>
      <c r="B84" s="32"/>
      <c r="C84" s="32"/>
      <c r="D84" s="18"/>
      <c r="E84" s="35">
        <v>10695.8</v>
      </c>
      <c r="F84" s="36">
        <v>0.1033</v>
      </c>
      <c r="G84" s="77"/>
    </row>
    <row r="85" spans="1:7" x14ac:dyDescent="0.25">
      <c r="A85" s="74"/>
      <c r="B85" s="31"/>
      <c r="C85" s="31"/>
      <c r="D85" s="14"/>
      <c r="E85" s="15"/>
      <c r="F85" s="16"/>
      <c r="G85" s="75"/>
    </row>
    <row r="86" spans="1:7" x14ac:dyDescent="0.25">
      <c r="A86" s="78" t="s">
        <v>93</v>
      </c>
      <c r="B86" s="79"/>
      <c r="C86" s="79"/>
      <c r="D86" s="80"/>
      <c r="E86" s="35">
        <v>10695.8</v>
      </c>
      <c r="F86" s="36">
        <v>0.1033</v>
      </c>
      <c r="G86" s="77"/>
    </row>
    <row r="87" spans="1:7" x14ac:dyDescent="0.25">
      <c r="A87" s="74" t="s">
        <v>112</v>
      </c>
      <c r="B87" s="31"/>
      <c r="C87" s="31"/>
      <c r="D87" s="14"/>
      <c r="E87" s="15">
        <v>1.048775</v>
      </c>
      <c r="F87" s="53" t="s">
        <v>2022</v>
      </c>
      <c r="G87" s="75"/>
    </row>
    <row r="88" spans="1:7" x14ac:dyDescent="0.25">
      <c r="A88" s="74" t="s">
        <v>113</v>
      </c>
      <c r="B88" s="31"/>
      <c r="C88" s="31"/>
      <c r="D88" s="14"/>
      <c r="E88" s="24">
        <v>-5551.3887750000004</v>
      </c>
      <c r="F88" s="25">
        <v>-5.3409999999999999E-2</v>
      </c>
      <c r="G88" s="75">
        <v>3.5790000000000002E-2</v>
      </c>
    </row>
    <row r="89" spans="1:7" x14ac:dyDescent="0.25">
      <c r="A89" s="81" t="s">
        <v>114</v>
      </c>
      <c r="B89" s="34"/>
      <c r="C89" s="34"/>
      <c r="D89" s="27"/>
      <c r="E89" s="28">
        <v>103522.62</v>
      </c>
      <c r="F89" s="29">
        <v>1</v>
      </c>
      <c r="G89" s="82"/>
    </row>
    <row r="90" spans="1:7" x14ac:dyDescent="0.25">
      <c r="A90" s="54"/>
      <c r="B90" s="56"/>
      <c r="C90" s="56"/>
      <c r="D90" s="56"/>
      <c r="E90" s="56"/>
      <c r="F90" s="56"/>
      <c r="G90" s="66"/>
    </row>
    <row r="91" spans="1:7" x14ac:dyDescent="0.25">
      <c r="A91" s="83" t="s">
        <v>1016</v>
      </c>
      <c r="B91" s="56"/>
      <c r="C91" s="56"/>
      <c r="D91" s="56"/>
      <c r="E91" s="56"/>
      <c r="F91" s="56"/>
      <c r="G91" s="66"/>
    </row>
    <row r="92" spans="1:7" x14ac:dyDescent="0.25">
      <c r="A92" s="83" t="s">
        <v>2023</v>
      </c>
      <c r="B92" s="56"/>
      <c r="C92" s="56"/>
      <c r="D92" s="56"/>
      <c r="E92" s="56"/>
      <c r="F92" s="56"/>
      <c r="G92" s="66"/>
    </row>
    <row r="93" spans="1:7" x14ac:dyDescent="0.25">
      <c r="A93" s="54"/>
      <c r="B93" s="56"/>
      <c r="C93" s="56"/>
      <c r="D93" s="56"/>
      <c r="E93" s="56"/>
      <c r="F93" s="56"/>
      <c r="G93" s="66"/>
    </row>
    <row r="94" spans="1:7" x14ac:dyDescent="0.25">
      <c r="A94" s="83" t="s">
        <v>1476</v>
      </c>
      <c r="B94" s="56"/>
      <c r="C94" s="56"/>
      <c r="D94" s="56"/>
      <c r="E94" s="56"/>
      <c r="F94" s="56"/>
      <c r="G94" s="66"/>
    </row>
    <row r="95" spans="1:7" x14ac:dyDescent="0.25">
      <c r="A95" s="84" t="s">
        <v>1477</v>
      </c>
      <c r="B95" s="85" t="s">
        <v>85</v>
      </c>
      <c r="C95" s="56"/>
      <c r="D95" s="56"/>
      <c r="E95" s="56"/>
      <c r="F95" s="56"/>
      <c r="G95" s="66"/>
    </row>
    <row r="96" spans="1:7" x14ac:dyDescent="0.25">
      <c r="A96" s="54" t="s">
        <v>1626</v>
      </c>
      <c r="B96" s="56"/>
      <c r="C96" s="56"/>
      <c r="D96" s="56"/>
      <c r="E96" s="56"/>
      <c r="F96" s="56"/>
      <c r="G96" s="66"/>
    </row>
    <row r="97" spans="1:7" x14ac:dyDescent="0.25">
      <c r="A97" s="54" t="s">
        <v>1478</v>
      </c>
      <c r="B97" s="85" t="s">
        <v>1479</v>
      </c>
      <c r="C97" s="85" t="s">
        <v>1479</v>
      </c>
      <c r="D97" s="56"/>
      <c r="E97" s="56"/>
      <c r="F97" s="56"/>
      <c r="G97" s="66"/>
    </row>
    <row r="98" spans="1:7" x14ac:dyDescent="0.25">
      <c r="A98" s="54"/>
      <c r="B98" s="86">
        <v>44469</v>
      </c>
      <c r="C98" s="86">
        <v>44651</v>
      </c>
      <c r="D98" s="56"/>
      <c r="E98" s="56"/>
      <c r="F98" s="56"/>
      <c r="G98" s="66"/>
    </row>
    <row r="99" spans="1:7" x14ac:dyDescent="0.25">
      <c r="A99" s="54" t="s">
        <v>1483</v>
      </c>
      <c r="B99" s="101">
        <v>20.157</v>
      </c>
      <c r="C99" s="56">
        <v>18.837599999999998</v>
      </c>
      <c r="D99" s="56"/>
      <c r="E99" s="59"/>
      <c r="F99" s="56"/>
      <c r="G99" s="87"/>
    </row>
    <row r="100" spans="1:7" x14ac:dyDescent="0.25">
      <c r="A100" s="54" t="s">
        <v>1484</v>
      </c>
      <c r="B100" s="101">
        <v>20.157</v>
      </c>
      <c r="C100" s="56">
        <v>18.837599999999998</v>
      </c>
      <c r="D100" s="56"/>
      <c r="E100" s="59"/>
      <c r="F100" s="56"/>
      <c r="G100" s="87"/>
    </row>
    <row r="101" spans="1:7" x14ac:dyDescent="0.25">
      <c r="A101" s="54" t="s">
        <v>1503</v>
      </c>
      <c r="B101" s="56">
        <v>19.804099999999998</v>
      </c>
      <c r="C101" s="101">
        <v>18.376000000000001</v>
      </c>
      <c r="D101" s="56"/>
      <c r="E101" s="59"/>
      <c r="F101" s="56"/>
      <c r="G101" s="87"/>
    </row>
    <row r="102" spans="1:7" x14ac:dyDescent="0.25">
      <c r="A102" s="54" t="s">
        <v>1504</v>
      </c>
      <c r="B102" s="56">
        <v>19.8034</v>
      </c>
      <c r="C102" s="56">
        <v>18.3752</v>
      </c>
      <c r="D102" s="56"/>
      <c r="E102" s="59"/>
      <c r="F102" s="56"/>
      <c r="G102" s="87"/>
    </row>
    <row r="103" spans="1:7" x14ac:dyDescent="0.25">
      <c r="A103" s="54"/>
      <c r="B103" s="56"/>
      <c r="C103" s="56"/>
      <c r="D103" s="56"/>
      <c r="E103" s="59"/>
      <c r="F103" s="56"/>
      <c r="G103" s="87"/>
    </row>
    <row r="104" spans="1:7" x14ac:dyDescent="0.25">
      <c r="A104" s="54" t="s">
        <v>2006</v>
      </c>
      <c r="B104" s="85" t="s">
        <v>85</v>
      </c>
      <c r="C104" s="56"/>
      <c r="D104" s="56"/>
      <c r="E104" s="56"/>
      <c r="F104" s="56"/>
      <c r="G104" s="66"/>
    </row>
    <row r="105" spans="1:7" x14ac:dyDescent="0.25">
      <c r="A105" s="54" t="s">
        <v>2008</v>
      </c>
      <c r="B105" s="85" t="s">
        <v>85</v>
      </c>
      <c r="C105" s="56"/>
      <c r="D105" s="56"/>
      <c r="E105" s="56"/>
      <c r="F105" s="56"/>
      <c r="G105" s="66"/>
    </row>
    <row r="106" spans="1:7" ht="17.25" customHeight="1" x14ac:dyDescent="0.25">
      <c r="A106" s="84" t="s">
        <v>2009</v>
      </c>
      <c r="B106" s="85" t="s">
        <v>85</v>
      </c>
      <c r="C106" s="56"/>
      <c r="D106" s="56"/>
      <c r="E106" s="56"/>
      <c r="F106" s="56"/>
      <c r="G106" s="66"/>
    </row>
    <row r="107" spans="1:7" x14ac:dyDescent="0.25">
      <c r="A107" s="84" t="s">
        <v>2010</v>
      </c>
      <c r="B107" s="85" t="s">
        <v>85</v>
      </c>
      <c r="C107" s="56"/>
      <c r="D107" s="56"/>
      <c r="E107" s="56"/>
      <c r="F107" s="56"/>
      <c r="G107" s="66"/>
    </row>
    <row r="108" spans="1:7" x14ac:dyDescent="0.25">
      <c r="A108" s="54" t="s">
        <v>1529</v>
      </c>
      <c r="B108" s="88">
        <v>2.1867179999999999</v>
      </c>
      <c r="C108" s="56"/>
      <c r="D108" s="56"/>
      <c r="E108" s="56"/>
      <c r="F108" s="56"/>
      <c r="G108" s="66"/>
    </row>
    <row r="109" spans="1:7" ht="30" x14ac:dyDescent="0.25">
      <c r="A109" s="84" t="s">
        <v>2011</v>
      </c>
      <c r="B109" s="88">
        <v>6288.4480375000003</v>
      </c>
      <c r="C109" s="56"/>
      <c r="D109" s="56"/>
      <c r="E109" s="56"/>
      <c r="F109" s="56"/>
      <c r="G109" s="66"/>
    </row>
    <row r="110" spans="1:7" ht="30" x14ac:dyDescent="0.25">
      <c r="A110" s="84" t="s">
        <v>1495</v>
      </c>
      <c r="B110" s="85" t="s">
        <v>85</v>
      </c>
      <c r="C110" s="56"/>
      <c r="D110" s="56"/>
      <c r="E110" s="56"/>
      <c r="F110" s="56"/>
      <c r="G110" s="66"/>
    </row>
    <row r="111" spans="1:7" x14ac:dyDescent="0.25">
      <c r="A111" s="54" t="s">
        <v>1607</v>
      </c>
      <c r="B111" s="85" t="s">
        <v>85</v>
      </c>
      <c r="C111" s="56"/>
      <c r="D111" s="56"/>
      <c r="E111" s="56"/>
      <c r="F111" s="56"/>
      <c r="G111" s="66"/>
    </row>
    <row r="112" spans="1:7" x14ac:dyDescent="0.25">
      <c r="A112" s="54" t="s">
        <v>1608</v>
      </c>
      <c r="B112" s="85" t="s">
        <v>85</v>
      </c>
      <c r="C112" s="56"/>
      <c r="D112" s="56"/>
      <c r="E112" s="56"/>
      <c r="F112" s="56"/>
      <c r="G112" s="66"/>
    </row>
    <row r="113" spans="1:7" ht="15.75" thickBot="1" x14ac:dyDescent="0.3">
      <c r="A113" s="89"/>
      <c r="B113" s="90"/>
      <c r="C113" s="90"/>
      <c r="D113" s="90"/>
      <c r="E113" s="90"/>
      <c r="F113" s="90"/>
      <c r="G113" s="91"/>
    </row>
    <row r="115" spans="1:7" ht="30" x14ac:dyDescent="0.25">
      <c r="A115" s="107" t="s">
        <v>2042</v>
      </c>
      <c r="B115" s="108" t="s">
        <v>2043</v>
      </c>
      <c r="C115" s="108" t="s">
        <v>2044</v>
      </c>
      <c r="D115" s="109" t="s">
        <v>2045</v>
      </c>
    </row>
    <row r="116" spans="1:7" ht="48" customHeight="1" x14ac:dyDescent="0.25">
      <c r="A116" s="110" t="str">
        <f>HYPERLINK("[EDEL_Portfolio Monthly 31-Mar-2022.xlsx]EEMOF1!A1","EDELWEISS RECENTLY LISTED IPO FUND")</f>
        <v>EDELWEISS RECENTLY LISTED IPO FUND</v>
      </c>
      <c r="B116" s="111"/>
      <c r="C116" s="111" t="s">
        <v>2069</v>
      </c>
      <c r="D116" s="111"/>
    </row>
  </sheetData>
  <mergeCells count="2">
    <mergeCell ref="A3:G3"/>
    <mergeCell ref="A4:G4"/>
  </mergeCells>
  <pageMargins left="0.7" right="0.7" top="0.75" bottom="0.75" header="0.3" footer="0.3"/>
  <pageSetup orientation="portrait" horizontalDpi="300" verticalDpi="30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61"/>
  <sheetViews>
    <sheetView showGridLines="0" workbookViewId="0">
      <pane ySplit="6" topLeftCell="A1048562"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60</v>
      </c>
      <c r="B3" s="139"/>
      <c r="C3" s="139"/>
      <c r="D3" s="139"/>
      <c r="E3" s="139"/>
      <c r="F3" s="139"/>
      <c r="G3" s="140"/>
      <c r="H3" s="46" t="str">
        <f>HYPERLINK("[EDEL_Portfolio HY 31032022.xlsx]Index!A1","Index")</f>
        <v>Index</v>
      </c>
    </row>
    <row r="4" spans="1:8" ht="19.5" customHeight="1" x14ac:dyDescent="0.25">
      <c r="A4" s="141" t="s">
        <v>61</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6" t="s">
        <v>84</v>
      </c>
      <c r="B8" s="31"/>
      <c r="C8" s="31"/>
      <c r="D8" s="14"/>
      <c r="E8" s="15"/>
      <c r="F8" s="16"/>
      <c r="G8" s="75"/>
    </row>
    <row r="9" spans="1:8" x14ac:dyDescent="0.25">
      <c r="A9" s="76" t="s">
        <v>435</v>
      </c>
      <c r="B9" s="31"/>
      <c r="C9" s="31"/>
      <c r="D9" s="14"/>
      <c r="E9" s="15"/>
      <c r="F9" s="16"/>
      <c r="G9" s="75"/>
    </row>
    <row r="10" spans="1:8" x14ac:dyDescent="0.25">
      <c r="A10" s="74" t="s">
        <v>549</v>
      </c>
      <c r="B10" s="31" t="s">
        <v>550</v>
      </c>
      <c r="C10" s="31" t="s">
        <v>465</v>
      </c>
      <c r="D10" s="14">
        <v>2644</v>
      </c>
      <c r="E10" s="15">
        <v>38.880000000000003</v>
      </c>
      <c r="F10" s="16">
        <v>0.28420000000000001</v>
      </c>
      <c r="G10" s="75"/>
    </row>
    <row r="11" spans="1:8" x14ac:dyDescent="0.25">
      <c r="A11" s="74" t="s">
        <v>622</v>
      </c>
      <c r="B11" s="31" t="s">
        <v>623</v>
      </c>
      <c r="C11" s="31" t="s">
        <v>465</v>
      </c>
      <c r="D11" s="14">
        <v>4194</v>
      </c>
      <c r="E11" s="15">
        <v>30.63</v>
      </c>
      <c r="F11" s="16">
        <v>0.22389999999999999</v>
      </c>
      <c r="G11" s="75"/>
    </row>
    <row r="12" spans="1:8" x14ac:dyDescent="0.25">
      <c r="A12" s="74" t="s">
        <v>481</v>
      </c>
      <c r="B12" s="31" t="s">
        <v>482</v>
      </c>
      <c r="C12" s="31" t="s">
        <v>465</v>
      </c>
      <c r="D12" s="14">
        <v>2058</v>
      </c>
      <c r="E12" s="15">
        <v>15.66</v>
      </c>
      <c r="F12" s="16">
        <v>0.1145</v>
      </c>
      <c r="G12" s="75"/>
    </row>
    <row r="13" spans="1:8" x14ac:dyDescent="0.25">
      <c r="A13" s="74" t="s">
        <v>463</v>
      </c>
      <c r="B13" s="31" t="s">
        <v>464</v>
      </c>
      <c r="C13" s="31" t="s">
        <v>465</v>
      </c>
      <c r="D13" s="14">
        <v>886</v>
      </c>
      <c r="E13" s="15">
        <v>15.54</v>
      </c>
      <c r="F13" s="16">
        <v>0.11360000000000001</v>
      </c>
      <c r="G13" s="75"/>
    </row>
    <row r="14" spans="1:8" x14ac:dyDescent="0.25">
      <c r="A14" s="74" t="s">
        <v>537</v>
      </c>
      <c r="B14" s="31" t="s">
        <v>538</v>
      </c>
      <c r="C14" s="31" t="s">
        <v>465</v>
      </c>
      <c r="D14" s="14">
        <v>3049</v>
      </c>
      <c r="E14" s="15">
        <v>15.05</v>
      </c>
      <c r="F14" s="16">
        <v>0.11</v>
      </c>
      <c r="G14" s="75"/>
    </row>
    <row r="15" spans="1:8" x14ac:dyDescent="0.25">
      <c r="A15" s="74" t="s">
        <v>468</v>
      </c>
      <c r="B15" s="31" t="s">
        <v>469</v>
      </c>
      <c r="C15" s="31" t="s">
        <v>465</v>
      </c>
      <c r="D15" s="14">
        <v>761</v>
      </c>
      <c r="E15" s="15">
        <v>7.12</v>
      </c>
      <c r="F15" s="16">
        <v>5.1999999999999998E-2</v>
      </c>
      <c r="G15" s="75"/>
    </row>
    <row r="16" spans="1:8" x14ac:dyDescent="0.25">
      <c r="A16" s="74" t="s">
        <v>710</v>
      </c>
      <c r="B16" s="31" t="s">
        <v>711</v>
      </c>
      <c r="C16" s="31" t="s">
        <v>465</v>
      </c>
      <c r="D16" s="14">
        <v>262</v>
      </c>
      <c r="E16" s="15">
        <v>3.27</v>
      </c>
      <c r="F16" s="16">
        <v>2.3900000000000001E-2</v>
      </c>
      <c r="G16" s="75"/>
    </row>
    <row r="17" spans="1:7" x14ac:dyDescent="0.25">
      <c r="A17" s="74" t="s">
        <v>635</v>
      </c>
      <c r="B17" s="31" t="s">
        <v>636</v>
      </c>
      <c r="C17" s="31" t="s">
        <v>465</v>
      </c>
      <c r="D17" s="14">
        <v>2209</v>
      </c>
      <c r="E17" s="15">
        <v>2.4700000000000002</v>
      </c>
      <c r="F17" s="16">
        <v>1.7999999999999999E-2</v>
      </c>
      <c r="G17" s="75"/>
    </row>
    <row r="18" spans="1:7" x14ac:dyDescent="0.25">
      <c r="A18" s="74" t="s">
        <v>474</v>
      </c>
      <c r="B18" s="31" t="s">
        <v>475</v>
      </c>
      <c r="C18" s="31" t="s">
        <v>465</v>
      </c>
      <c r="D18" s="14">
        <v>803</v>
      </c>
      <c r="E18" s="15">
        <v>2.4700000000000002</v>
      </c>
      <c r="F18" s="16">
        <v>1.7999999999999999E-2</v>
      </c>
      <c r="G18" s="75"/>
    </row>
    <row r="19" spans="1:7" x14ac:dyDescent="0.25">
      <c r="A19" s="74" t="s">
        <v>680</v>
      </c>
      <c r="B19" s="31" t="s">
        <v>681</v>
      </c>
      <c r="C19" s="31" t="s">
        <v>465</v>
      </c>
      <c r="D19" s="14">
        <v>2371</v>
      </c>
      <c r="E19" s="15">
        <v>2.31</v>
      </c>
      <c r="F19" s="16">
        <v>1.6899999999999998E-2</v>
      </c>
      <c r="G19" s="75"/>
    </row>
    <row r="20" spans="1:7" x14ac:dyDescent="0.25">
      <c r="A20" s="74" t="s">
        <v>618</v>
      </c>
      <c r="B20" s="31" t="s">
        <v>619</v>
      </c>
      <c r="C20" s="31" t="s">
        <v>465</v>
      </c>
      <c r="D20" s="14">
        <v>3689</v>
      </c>
      <c r="E20" s="15">
        <v>1.46</v>
      </c>
      <c r="F20" s="16">
        <v>1.0699999999999999E-2</v>
      </c>
      <c r="G20" s="75"/>
    </row>
    <row r="21" spans="1:7" x14ac:dyDescent="0.25">
      <c r="A21" s="74" t="s">
        <v>506</v>
      </c>
      <c r="B21" s="31" t="s">
        <v>507</v>
      </c>
      <c r="C21" s="31" t="s">
        <v>465</v>
      </c>
      <c r="D21" s="14">
        <v>3527</v>
      </c>
      <c r="E21" s="15">
        <v>1.24</v>
      </c>
      <c r="F21" s="16">
        <v>8.9999999999999993E-3</v>
      </c>
      <c r="G21" s="75"/>
    </row>
    <row r="22" spans="1:7" x14ac:dyDescent="0.25">
      <c r="A22" s="74" t="s">
        <v>1605</v>
      </c>
      <c r="B22" s="31" t="s">
        <v>1238</v>
      </c>
      <c r="C22" s="31" t="s">
        <v>465</v>
      </c>
      <c r="D22" s="14">
        <v>1752</v>
      </c>
      <c r="E22" s="15">
        <v>0</v>
      </c>
      <c r="F22" s="53" t="s">
        <v>2022</v>
      </c>
      <c r="G22" s="75"/>
    </row>
    <row r="23" spans="1:7" x14ac:dyDescent="0.25">
      <c r="A23" s="76" t="s">
        <v>90</v>
      </c>
      <c r="B23" s="32"/>
      <c r="C23" s="32"/>
      <c r="D23" s="18"/>
      <c r="E23" s="35">
        <v>136.1</v>
      </c>
      <c r="F23" s="36">
        <v>0.99470000000000003</v>
      </c>
      <c r="G23" s="77"/>
    </row>
    <row r="24" spans="1:7" x14ac:dyDescent="0.25">
      <c r="A24" s="76" t="s">
        <v>815</v>
      </c>
      <c r="B24" s="31"/>
      <c r="C24" s="31"/>
      <c r="D24" s="14"/>
      <c r="E24" s="15"/>
      <c r="F24" s="16"/>
      <c r="G24" s="75"/>
    </row>
    <row r="25" spans="1:7" x14ac:dyDescent="0.25">
      <c r="A25" s="76" t="s">
        <v>90</v>
      </c>
      <c r="B25" s="31"/>
      <c r="C25" s="31"/>
      <c r="D25" s="14"/>
      <c r="E25" s="37" t="s">
        <v>85</v>
      </c>
      <c r="F25" s="38" t="s">
        <v>85</v>
      </c>
      <c r="G25" s="75"/>
    </row>
    <row r="26" spans="1:7" x14ac:dyDescent="0.25">
      <c r="A26" s="78" t="s">
        <v>93</v>
      </c>
      <c r="B26" s="79"/>
      <c r="C26" s="79"/>
      <c r="D26" s="80"/>
      <c r="E26" s="28">
        <v>136.1</v>
      </c>
      <c r="F26" s="29">
        <v>0.99470000000000003</v>
      </c>
      <c r="G26" s="77"/>
    </row>
    <row r="27" spans="1:7" x14ac:dyDescent="0.25">
      <c r="A27" s="74"/>
      <c r="B27" s="31"/>
      <c r="C27" s="31"/>
      <c r="D27" s="14"/>
      <c r="E27" s="15"/>
      <c r="F27" s="16"/>
      <c r="G27" s="75"/>
    </row>
    <row r="28" spans="1:7" x14ac:dyDescent="0.25">
      <c r="A28" s="74"/>
      <c r="B28" s="31"/>
      <c r="C28" s="31"/>
      <c r="D28" s="14"/>
      <c r="E28" s="15"/>
      <c r="F28" s="16"/>
      <c r="G28" s="75"/>
    </row>
    <row r="29" spans="1:7" x14ac:dyDescent="0.25">
      <c r="A29" s="76" t="s">
        <v>110</v>
      </c>
      <c r="B29" s="31"/>
      <c r="C29" s="31"/>
      <c r="D29" s="14"/>
      <c r="E29" s="15"/>
      <c r="F29" s="16"/>
      <c r="G29" s="75"/>
    </row>
    <row r="30" spans="1:7" x14ac:dyDescent="0.25">
      <c r="A30" s="74" t="s">
        <v>111</v>
      </c>
      <c r="B30" s="31"/>
      <c r="C30" s="31"/>
      <c r="D30" s="14"/>
      <c r="E30" s="15">
        <v>1</v>
      </c>
      <c r="F30" s="16">
        <v>7.3000000000000001E-3</v>
      </c>
      <c r="G30" s="75">
        <v>3.5790000000000002E-2</v>
      </c>
    </row>
    <row r="31" spans="1:7" x14ac:dyDescent="0.25">
      <c r="A31" s="76" t="s">
        <v>90</v>
      </c>
      <c r="B31" s="32"/>
      <c r="C31" s="32"/>
      <c r="D31" s="18"/>
      <c r="E31" s="35">
        <v>1</v>
      </c>
      <c r="F31" s="36">
        <v>7.3000000000000001E-3</v>
      </c>
      <c r="G31" s="77"/>
    </row>
    <row r="32" spans="1:7" x14ac:dyDescent="0.25">
      <c r="A32" s="74"/>
      <c r="B32" s="31"/>
      <c r="C32" s="31"/>
      <c r="D32" s="14"/>
      <c r="E32" s="15"/>
      <c r="F32" s="16"/>
      <c r="G32" s="75"/>
    </row>
    <row r="33" spans="1:7" x14ac:dyDescent="0.25">
      <c r="A33" s="78" t="s">
        <v>93</v>
      </c>
      <c r="B33" s="79"/>
      <c r="C33" s="79"/>
      <c r="D33" s="80"/>
      <c r="E33" s="35">
        <v>1</v>
      </c>
      <c r="F33" s="36">
        <v>7.3000000000000001E-3</v>
      </c>
      <c r="G33" s="77"/>
    </row>
    <row r="34" spans="1:7" x14ac:dyDescent="0.25">
      <c r="A34" s="74" t="s">
        <v>112</v>
      </c>
      <c r="B34" s="31"/>
      <c r="C34" s="31"/>
      <c r="D34" s="14"/>
      <c r="E34" s="15">
        <v>9.7999999999999997E-5</v>
      </c>
      <c r="F34" s="53" t="s">
        <v>2022</v>
      </c>
      <c r="G34" s="75"/>
    </row>
    <row r="35" spans="1:7" x14ac:dyDescent="0.25">
      <c r="A35" s="74" t="s">
        <v>113</v>
      </c>
      <c r="B35" s="31"/>
      <c r="C35" s="31"/>
      <c r="D35" s="14"/>
      <c r="E35" s="24">
        <v>-0.32009799999999999</v>
      </c>
      <c r="F35" s="25">
        <v>-2E-3</v>
      </c>
      <c r="G35" s="75">
        <v>3.5790000000000002E-2</v>
      </c>
    </row>
    <row r="36" spans="1:7" x14ac:dyDescent="0.25">
      <c r="A36" s="81" t="s">
        <v>114</v>
      </c>
      <c r="B36" s="34"/>
      <c r="C36" s="34"/>
      <c r="D36" s="27"/>
      <c r="E36" s="28">
        <v>136.78</v>
      </c>
      <c r="F36" s="29">
        <v>1</v>
      </c>
      <c r="G36" s="82"/>
    </row>
    <row r="37" spans="1:7" x14ac:dyDescent="0.25">
      <c r="A37" s="54"/>
      <c r="B37" s="56"/>
      <c r="C37" s="56"/>
      <c r="D37" s="56"/>
      <c r="E37" s="56"/>
      <c r="F37" s="56"/>
      <c r="G37" s="66"/>
    </row>
    <row r="38" spans="1:7" ht="49.15" customHeight="1" x14ac:dyDescent="0.25">
      <c r="A38" s="145" t="s">
        <v>1606</v>
      </c>
      <c r="B38" s="146"/>
      <c r="C38" s="146"/>
      <c r="D38" s="146"/>
      <c r="E38" s="146"/>
      <c r="F38" s="146"/>
      <c r="G38" s="66"/>
    </row>
    <row r="39" spans="1:7" x14ac:dyDescent="0.25">
      <c r="A39" s="83" t="s">
        <v>2023</v>
      </c>
      <c r="B39" s="56"/>
      <c r="C39" s="56"/>
      <c r="D39" s="56"/>
      <c r="E39" s="56"/>
      <c r="F39" s="56"/>
      <c r="G39" s="66"/>
    </row>
    <row r="40" spans="1:7" x14ac:dyDescent="0.25">
      <c r="A40" s="54"/>
      <c r="B40" s="56"/>
      <c r="C40" s="56"/>
      <c r="D40" s="56"/>
      <c r="E40" s="56"/>
      <c r="F40" s="56"/>
      <c r="G40" s="66"/>
    </row>
    <row r="41" spans="1:7" x14ac:dyDescent="0.25">
      <c r="A41" s="83" t="s">
        <v>1476</v>
      </c>
      <c r="B41" s="56"/>
      <c r="C41" s="56"/>
      <c r="D41" s="56"/>
      <c r="E41" s="56"/>
      <c r="F41" s="56"/>
      <c r="G41" s="66"/>
    </row>
    <row r="42" spans="1:7" x14ac:dyDescent="0.25">
      <c r="A42" s="84" t="s">
        <v>1477</v>
      </c>
      <c r="B42" s="85" t="s">
        <v>85</v>
      </c>
      <c r="C42" s="56"/>
      <c r="D42" s="56"/>
      <c r="E42" s="56"/>
      <c r="F42" s="56"/>
      <c r="G42" s="66"/>
    </row>
    <row r="43" spans="1:7" x14ac:dyDescent="0.25">
      <c r="A43" s="54" t="s">
        <v>1626</v>
      </c>
      <c r="B43" s="56"/>
      <c r="C43" s="56"/>
      <c r="D43" s="56"/>
      <c r="E43" s="56"/>
      <c r="F43" s="56"/>
      <c r="G43" s="66"/>
    </row>
    <row r="44" spans="1:7" x14ac:dyDescent="0.25">
      <c r="A44" s="54" t="s">
        <v>1478</v>
      </c>
      <c r="B44" s="85" t="s">
        <v>1479</v>
      </c>
      <c r="C44" s="85" t="s">
        <v>1479</v>
      </c>
      <c r="D44" s="56"/>
      <c r="E44" s="56"/>
      <c r="F44" s="56"/>
      <c r="G44" s="66"/>
    </row>
    <row r="45" spans="1:7" x14ac:dyDescent="0.25">
      <c r="A45" s="54"/>
      <c r="B45" s="86">
        <v>44469</v>
      </c>
      <c r="C45" s="86">
        <v>44651</v>
      </c>
      <c r="D45" s="56"/>
      <c r="E45" s="56"/>
      <c r="F45" s="56"/>
      <c r="G45" s="66"/>
    </row>
    <row r="46" spans="1:7" x14ac:dyDescent="0.25">
      <c r="A46" s="54" t="s">
        <v>1497</v>
      </c>
      <c r="B46" s="56">
        <v>3791.7455</v>
      </c>
      <c r="C46" s="56">
        <v>3683.8546999999999</v>
      </c>
      <c r="D46" s="56"/>
      <c r="E46" s="59"/>
      <c r="F46" s="56"/>
      <c r="G46" s="87"/>
    </row>
    <row r="47" spans="1:7" x14ac:dyDescent="0.25">
      <c r="A47" s="54"/>
      <c r="B47" s="56"/>
      <c r="C47" s="56"/>
      <c r="D47" s="56"/>
      <c r="E47" s="59"/>
      <c r="F47" s="56"/>
      <c r="G47" s="87"/>
    </row>
    <row r="48" spans="1:7" x14ac:dyDescent="0.25">
      <c r="A48" s="54" t="s">
        <v>2006</v>
      </c>
      <c r="B48" s="85" t="s">
        <v>85</v>
      </c>
      <c r="C48" s="56"/>
      <c r="D48" s="56"/>
      <c r="E48" s="56"/>
      <c r="F48" s="56"/>
      <c r="G48" s="66"/>
    </row>
    <row r="49" spans="1:7" x14ac:dyDescent="0.25">
      <c r="A49" s="54" t="s">
        <v>2008</v>
      </c>
      <c r="B49" s="85" t="s">
        <v>85</v>
      </c>
      <c r="C49" s="56"/>
      <c r="D49" s="56"/>
      <c r="E49" s="56"/>
      <c r="F49" s="56"/>
      <c r="G49" s="66"/>
    </row>
    <row r="50" spans="1:7" ht="18" customHeight="1" x14ac:dyDescent="0.25">
      <c r="A50" s="84" t="s">
        <v>2009</v>
      </c>
      <c r="B50" s="85" t="s">
        <v>85</v>
      </c>
      <c r="C50" s="56"/>
      <c r="D50" s="56"/>
      <c r="E50" s="56"/>
      <c r="F50" s="56"/>
      <c r="G50" s="66"/>
    </row>
    <row r="51" spans="1:7" ht="18.75" customHeight="1" x14ac:dyDescent="0.25">
      <c r="A51" s="84" t="s">
        <v>2010</v>
      </c>
      <c r="B51" s="85" t="s">
        <v>85</v>
      </c>
      <c r="C51" s="56"/>
      <c r="D51" s="56"/>
      <c r="E51" s="56"/>
      <c r="F51" s="56"/>
      <c r="G51" s="66"/>
    </row>
    <row r="52" spans="1:7" x14ac:dyDescent="0.25">
      <c r="A52" s="54" t="s">
        <v>1529</v>
      </c>
      <c r="B52" s="88">
        <v>0.19609799999999999</v>
      </c>
      <c r="C52" s="56"/>
      <c r="D52" s="56"/>
      <c r="E52" s="56"/>
      <c r="F52" s="56"/>
      <c r="G52" s="66"/>
    </row>
    <row r="53" spans="1:7" ht="30" x14ac:dyDescent="0.25">
      <c r="A53" s="84" t="s">
        <v>2011</v>
      </c>
      <c r="B53" s="85" t="s">
        <v>85</v>
      </c>
      <c r="C53" s="56"/>
      <c r="D53" s="56"/>
      <c r="E53" s="56"/>
      <c r="F53" s="56"/>
      <c r="G53" s="66"/>
    </row>
    <row r="54" spans="1:7" ht="30" x14ac:dyDescent="0.25">
      <c r="A54" s="84" t="s">
        <v>1495</v>
      </c>
      <c r="B54" s="85" t="s">
        <v>85</v>
      </c>
      <c r="C54" s="56"/>
      <c r="D54" s="56"/>
      <c r="E54" s="56"/>
      <c r="F54" s="56"/>
      <c r="G54" s="66"/>
    </row>
    <row r="55" spans="1:7" x14ac:dyDescent="0.25">
      <c r="A55" s="54" t="s">
        <v>1607</v>
      </c>
      <c r="B55" s="85" t="s">
        <v>85</v>
      </c>
      <c r="C55" s="56"/>
      <c r="D55" s="56"/>
      <c r="E55" s="56"/>
      <c r="F55" s="56"/>
      <c r="G55" s="66"/>
    </row>
    <row r="56" spans="1:7" x14ac:dyDescent="0.25">
      <c r="A56" s="54" t="s">
        <v>1608</v>
      </c>
      <c r="B56" s="85" t="s">
        <v>85</v>
      </c>
      <c r="C56" s="56"/>
      <c r="D56" s="56"/>
      <c r="E56" s="56"/>
      <c r="F56" s="56"/>
      <c r="G56" s="66"/>
    </row>
    <row r="57" spans="1:7" ht="15.75" thickBot="1" x14ac:dyDescent="0.3">
      <c r="A57" s="89"/>
      <c r="B57" s="90"/>
      <c r="C57" s="90"/>
      <c r="D57" s="90"/>
      <c r="E57" s="90"/>
      <c r="F57" s="90"/>
      <c r="G57" s="91"/>
    </row>
    <row r="60" spans="1:7" ht="30" x14ac:dyDescent="0.25">
      <c r="A60" s="107" t="s">
        <v>2042</v>
      </c>
      <c r="B60" s="108" t="s">
        <v>2043</v>
      </c>
      <c r="C60" s="108" t="s">
        <v>2044</v>
      </c>
      <c r="D60" s="109" t="s">
        <v>2045</v>
      </c>
    </row>
    <row r="61" spans="1:7" ht="57" customHeight="1" x14ac:dyDescent="0.25">
      <c r="A61" s="110" t="str">
        <f>HYPERLINK("[EDEL_Portfolio Monthly 31-Mar-2022.xlsx]EENFBA!A1","Edelweiss ETF - Nifty Bank")</f>
        <v>Edelweiss ETF - Nifty Bank</v>
      </c>
      <c r="B61" s="111"/>
      <c r="C61" s="111" t="s">
        <v>2070</v>
      </c>
      <c r="D61" s="111"/>
    </row>
  </sheetData>
  <mergeCells count="3">
    <mergeCell ref="A3:G3"/>
    <mergeCell ref="A4:G4"/>
    <mergeCell ref="A38:F38"/>
  </mergeCells>
  <pageMargins left="0.7" right="0.7" top="0.75" bottom="0.75" header="0.3" footer="0.3"/>
  <pageSetup orientation="portrait" horizontalDpi="300" verticalDpi="300"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168"/>
  <sheetViews>
    <sheetView showGridLines="0" topLeftCell="B1" workbookViewId="0">
      <pane ySplit="6" topLeftCell="A1048562"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47" customWidth="1"/>
    <col min="4" max="4" width="18.28515625" customWidth="1"/>
    <col min="5" max="5" width="16.5703125" customWidth="1"/>
    <col min="6" max="6" width="15.42578125" customWidth="1"/>
    <col min="7" max="7" width="6" style="2" bestFit="1" customWidth="1"/>
    <col min="9" max="9" width="26.140625"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62</v>
      </c>
      <c r="B3" s="139"/>
      <c r="C3" s="139"/>
      <c r="D3" s="139"/>
      <c r="E3" s="139"/>
      <c r="F3" s="139"/>
      <c r="G3" s="140"/>
      <c r="H3" s="46" t="str">
        <f>HYPERLINK("[EDEL_Portfolio HY 31032022.xlsx]Index!A1","Index")</f>
        <v>Index</v>
      </c>
    </row>
    <row r="4" spans="1:8" ht="19.5" customHeight="1" x14ac:dyDescent="0.25">
      <c r="A4" s="141" t="s">
        <v>63</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6" t="s">
        <v>84</v>
      </c>
      <c r="B8" s="31"/>
      <c r="C8" s="31"/>
      <c r="D8" s="14"/>
      <c r="E8" s="15"/>
      <c r="F8" s="16"/>
      <c r="G8" s="75"/>
    </row>
    <row r="9" spans="1:8" x14ac:dyDescent="0.25">
      <c r="A9" s="76" t="s">
        <v>435</v>
      </c>
      <c r="B9" s="31"/>
      <c r="C9" s="31"/>
      <c r="D9" s="14"/>
      <c r="E9" s="15"/>
      <c r="F9" s="16"/>
      <c r="G9" s="75"/>
    </row>
    <row r="10" spans="1:8" x14ac:dyDescent="0.25">
      <c r="A10" s="74" t="s">
        <v>1017</v>
      </c>
      <c r="B10" s="31" t="s">
        <v>1018</v>
      </c>
      <c r="C10" s="31" t="s">
        <v>2032</v>
      </c>
      <c r="D10" s="14">
        <v>97127</v>
      </c>
      <c r="E10" s="15">
        <v>1642.27</v>
      </c>
      <c r="F10" s="16">
        <v>8.72E-2</v>
      </c>
      <c r="G10" s="75"/>
    </row>
    <row r="11" spans="1:8" x14ac:dyDescent="0.25">
      <c r="A11" s="74" t="s">
        <v>622</v>
      </c>
      <c r="B11" s="31" t="s">
        <v>623</v>
      </c>
      <c r="C11" s="31" t="s">
        <v>465</v>
      </c>
      <c r="D11" s="14">
        <v>140141</v>
      </c>
      <c r="E11" s="15">
        <v>1023.45</v>
      </c>
      <c r="F11" s="16">
        <v>5.4300000000000001E-2</v>
      </c>
      <c r="G11" s="75"/>
    </row>
    <row r="12" spans="1:8" x14ac:dyDescent="0.25">
      <c r="A12" s="74" t="s">
        <v>472</v>
      </c>
      <c r="B12" s="31" t="s">
        <v>473</v>
      </c>
      <c r="C12" s="31" t="s">
        <v>2027</v>
      </c>
      <c r="D12" s="14">
        <v>48558</v>
      </c>
      <c r="E12" s="15">
        <v>925.93</v>
      </c>
      <c r="F12" s="16">
        <v>4.9200000000000001E-2</v>
      </c>
      <c r="G12" s="75"/>
    </row>
    <row r="13" spans="1:8" x14ac:dyDescent="0.25">
      <c r="A13" s="74" t="s">
        <v>438</v>
      </c>
      <c r="B13" s="31" t="s">
        <v>439</v>
      </c>
      <c r="C13" s="31" t="s">
        <v>440</v>
      </c>
      <c r="D13" s="14">
        <v>33452</v>
      </c>
      <c r="E13" s="15">
        <v>881.38</v>
      </c>
      <c r="F13" s="16">
        <v>4.6800000000000001E-2</v>
      </c>
      <c r="G13" s="75"/>
    </row>
    <row r="14" spans="1:8" x14ac:dyDescent="0.25">
      <c r="A14" s="74" t="s">
        <v>441</v>
      </c>
      <c r="B14" s="31" t="s">
        <v>442</v>
      </c>
      <c r="C14" s="31" t="s">
        <v>443</v>
      </c>
      <c r="D14" s="14">
        <v>77976</v>
      </c>
      <c r="E14" s="15">
        <v>588.67999999999995</v>
      </c>
      <c r="F14" s="16">
        <v>3.1300000000000001E-2</v>
      </c>
      <c r="G14" s="75"/>
    </row>
    <row r="15" spans="1:8" x14ac:dyDescent="0.25">
      <c r="A15" s="74" t="s">
        <v>481</v>
      </c>
      <c r="B15" s="31" t="s">
        <v>482</v>
      </c>
      <c r="C15" s="31" t="s">
        <v>465</v>
      </c>
      <c r="D15" s="14">
        <v>70117</v>
      </c>
      <c r="E15" s="15">
        <v>533.70000000000005</v>
      </c>
      <c r="F15" s="16">
        <v>2.8299999999999999E-2</v>
      </c>
      <c r="G15" s="75"/>
    </row>
    <row r="16" spans="1:8" x14ac:dyDescent="0.25">
      <c r="A16" s="74" t="s">
        <v>492</v>
      </c>
      <c r="B16" s="31" t="s">
        <v>493</v>
      </c>
      <c r="C16" s="31" t="s">
        <v>2029</v>
      </c>
      <c r="D16" s="14">
        <v>28841</v>
      </c>
      <c r="E16" s="15">
        <v>509.81</v>
      </c>
      <c r="F16" s="16">
        <v>2.7099999999999999E-2</v>
      </c>
      <c r="G16" s="75"/>
    </row>
    <row r="17" spans="1:7" x14ac:dyDescent="0.25">
      <c r="A17" s="74" t="s">
        <v>537</v>
      </c>
      <c r="B17" s="31" t="s">
        <v>538</v>
      </c>
      <c r="C17" s="31" t="s">
        <v>465</v>
      </c>
      <c r="D17" s="14">
        <v>97929</v>
      </c>
      <c r="E17" s="15">
        <v>483.33</v>
      </c>
      <c r="F17" s="16">
        <v>2.5700000000000001E-2</v>
      </c>
      <c r="G17" s="75"/>
    </row>
    <row r="18" spans="1:7" x14ac:dyDescent="0.25">
      <c r="A18" s="74" t="s">
        <v>549</v>
      </c>
      <c r="B18" s="31" t="s">
        <v>550</v>
      </c>
      <c r="C18" s="31" t="s">
        <v>465</v>
      </c>
      <c r="D18" s="14">
        <v>29892</v>
      </c>
      <c r="E18" s="15">
        <v>439.52</v>
      </c>
      <c r="F18" s="16">
        <v>2.3300000000000001E-2</v>
      </c>
      <c r="G18" s="75"/>
    </row>
    <row r="19" spans="1:7" x14ac:dyDescent="0.25">
      <c r="A19" s="74" t="s">
        <v>504</v>
      </c>
      <c r="B19" s="31" t="s">
        <v>505</v>
      </c>
      <c r="C19" s="31" t="s">
        <v>2028</v>
      </c>
      <c r="D19" s="14">
        <v>170694</v>
      </c>
      <c r="E19" s="15">
        <v>427.84</v>
      </c>
      <c r="F19" s="16">
        <v>2.2700000000000001E-2</v>
      </c>
      <c r="G19" s="75"/>
    </row>
    <row r="20" spans="1:7" x14ac:dyDescent="0.25">
      <c r="A20" s="74" t="s">
        <v>584</v>
      </c>
      <c r="B20" s="31" t="s">
        <v>585</v>
      </c>
      <c r="C20" s="31" t="s">
        <v>2027</v>
      </c>
      <c r="D20" s="14">
        <v>10057</v>
      </c>
      <c r="E20" s="15">
        <v>376.13</v>
      </c>
      <c r="F20" s="16">
        <v>0.02</v>
      </c>
      <c r="G20" s="75"/>
    </row>
    <row r="21" spans="1:7" x14ac:dyDescent="0.25">
      <c r="A21" s="74" t="s">
        <v>629</v>
      </c>
      <c r="B21" s="31" t="s">
        <v>630</v>
      </c>
      <c r="C21" s="31" t="s">
        <v>459</v>
      </c>
      <c r="D21" s="14">
        <v>203938</v>
      </c>
      <c r="E21" s="15">
        <v>275.32</v>
      </c>
      <c r="F21" s="16">
        <v>1.46E-2</v>
      </c>
      <c r="G21" s="75"/>
    </row>
    <row r="22" spans="1:7" x14ac:dyDescent="0.25">
      <c r="A22" s="74" t="s">
        <v>702</v>
      </c>
      <c r="B22" s="31" t="s">
        <v>703</v>
      </c>
      <c r="C22" s="31" t="s">
        <v>2032</v>
      </c>
      <c r="D22" s="14">
        <v>60289</v>
      </c>
      <c r="E22" s="15">
        <v>261.5</v>
      </c>
      <c r="F22" s="16">
        <v>1.3899999999999999E-2</v>
      </c>
      <c r="G22" s="75"/>
    </row>
    <row r="23" spans="1:7" x14ac:dyDescent="0.25">
      <c r="A23" s="74" t="s">
        <v>448</v>
      </c>
      <c r="B23" s="31" t="s">
        <v>449</v>
      </c>
      <c r="C23" s="31" t="s">
        <v>450</v>
      </c>
      <c r="D23" s="14">
        <v>9604</v>
      </c>
      <c r="E23" s="15">
        <v>229.57</v>
      </c>
      <c r="F23" s="16">
        <v>1.2200000000000001E-2</v>
      </c>
      <c r="G23" s="75"/>
    </row>
    <row r="24" spans="1:7" x14ac:dyDescent="0.25">
      <c r="A24" s="74" t="s">
        <v>724</v>
      </c>
      <c r="B24" s="31" t="s">
        <v>725</v>
      </c>
      <c r="C24" s="31" t="s">
        <v>1429</v>
      </c>
      <c r="D24" s="14">
        <v>24172</v>
      </c>
      <c r="E24" s="15">
        <v>221.11</v>
      </c>
      <c r="F24" s="16">
        <v>1.17E-2</v>
      </c>
      <c r="G24" s="75"/>
    </row>
    <row r="25" spans="1:7" x14ac:dyDescent="0.25">
      <c r="A25" s="74" t="s">
        <v>510</v>
      </c>
      <c r="B25" s="31" t="s">
        <v>511</v>
      </c>
      <c r="C25" s="31" t="s">
        <v>2027</v>
      </c>
      <c r="D25" s="14">
        <v>17985</v>
      </c>
      <c r="E25" s="15">
        <v>209.3</v>
      </c>
      <c r="F25" s="16">
        <v>1.11E-2</v>
      </c>
      <c r="G25" s="75"/>
    </row>
    <row r="26" spans="1:7" x14ac:dyDescent="0.25">
      <c r="A26" s="74" t="s">
        <v>716</v>
      </c>
      <c r="B26" s="31" t="s">
        <v>717</v>
      </c>
      <c r="C26" s="31" t="s">
        <v>615</v>
      </c>
      <c r="D26" s="14">
        <v>7360</v>
      </c>
      <c r="E26" s="15">
        <v>186.66</v>
      </c>
      <c r="F26" s="16">
        <v>9.9000000000000008E-3</v>
      </c>
      <c r="G26" s="75"/>
    </row>
    <row r="27" spans="1:7" x14ac:dyDescent="0.25">
      <c r="A27" s="74" t="s">
        <v>582</v>
      </c>
      <c r="B27" s="31" t="s">
        <v>583</v>
      </c>
      <c r="C27" s="31" t="s">
        <v>2032</v>
      </c>
      <c r="D27" s="14">
        <v>2391</v>
      </c>
      <c r="E27" s="15">
        <v>180.79</v>
      </c>
      <c r="F27" s="16">
        <v>9.5999999999999992E-3</v>
      </c>
      <c r="G27" s="75"/>
    </row>
    <row r="28" spans="1:7" x14ac:dyDescent="0.25">
      <c r="A28" s="74" t="s">
        <v>508</v>
      </c>
      <c r="B28" s="31" t="s">
        <v>509</v>
      </c>
      <c r="C28" s="31" t="s">
        <v>462</v>
      </c>
      <c r="D28" s="14">
        <v>29464</v>
      </c>
      <c r="E28" s="15">
        <v>167.8</v>
      </c>
      <c r="F28" s="16">
        <v>8.8999999999999999E-3</v>
      </c>
      <c r="G28" s="75"/>
    </row>
    <row r="29" spans="1:7" x14ac:dyDescent="0.25">
      <c r="A29" s="74" t="s">
        <v>470</v>
      </c>
      <c r="B29" s="31" t="s">
        <v>471</v>
      </c>
      <c r="C29" s="31" t="s">
        <v>456</v>
      </c>
      <c r="D29" s="14">
        <v>11747</v>
      </c>
      <c r="E29" s="15">
        <v>153.56</v>
      </c>
      <c r="F29" s="16">
        <v>8.2000000000000007E-3</v>
      </c>
      <c r="G29" s="75"/>
    </row>
    <row r="30" spans="1:7" x14ac:dyDescent="0.25">
      <c r="A30" s="74" t="s">
        <v>1019</v>
      </c>
      <c r="B30" s="31" t="s">
        <v>1020</v>
      </c>
      <c r="C30" s="31" t="s">
        <v>1429</v>
      </c>
      <c r="D30" s="14">
        <v>4599</v>
      </c>
      <c r="E30" s="15">
        <v>150.51</v>
      </c>
      <c r="F30" s="16">
        <v>8.0000000000000002E-3</v>
      </c>
      <c r="G30" s="75"/>
    </row>
    <row r="31" spans="1:7" x14ac:dyDescent="0.25">
      <c r="A31" s="74" t="s">
        <v>657</v>
      </c>
      <c r="B31" s="31" t="s">
        <v>658</v>
      </c>
      <c r="C31" s="31" t="s">
        <v>480</v>
      </c>
      <c r="D31" s="14">
        <v>2222</v>
      </c>
      <c r="E31" s="15">
        <v>146.69999999999999</v>
      </c>
      <c r="F31" s="16">
        <v>7.7999999999999996E-3</v>
      </c>
      <c r="G31" s="75"/>
    </row>
    <row r="32" spans="1:7" x14ac:dyDescent="0.25">
      <c r="A32" s="74" t="s">
        <v>1101</v>
      </c>
      <c r="B32" s="31" t="s">
        <v>1102</v>
      </c>
      <c r="C32" s="31" t="s">
        <v>2027</v>
      </c>
      <c r="D32" s="14">
        <v>24667</v>
      </c>
      <c r="E32" s="15">
        <v>146</v>
      </c>
      <c r="F32" s="16">
        <v>7.7999999999999996E-3</v>
      </c>
      <c r="G32" s="75"/>
    </row>
    <row r="33" spans="1:7" x14ac:dyDescent="0.25">
      <c r="A33" s="74" t="s">
        <v>490</v>
      </c>
      <c r="B33" s="31" t="s">
        <v>491</v>
      </c>
      <c r="C33" s="31" t="s">
        <v>450</v>
      </c>
      <c r="D33" s="14">
        <v>1934</v>
      </c>
      <c r="E33" s="15">
        <v>140.41</v>
      </c>
      <c r="F33" s="16">
        <v>7.4999999999999997E-3</v>
      </c>
      <c r="G33" s="75"/>
    </row>
    <row r="34" spans="1:7" x14ac:dyDescent="0.25">
      <c r="A34" s="74" t="s">
        <v>541</v>
      </c>
      <c r="B34" s="31" t="s">
        <v>542</v>
      </c>
      <c r="C34" s="31" t="s">
        <v>501</v>
      </c>
      <c r="D34" s="14">
        <v>64184</v>
      </c>
      <c r="E34" s="15">
        <v>135.30000000000001</v>
      </c>
      <c r="F34" s="16">
        <v>7.1999999999999998E-3</v>
      </c>
      <c r="G34" s="75"/>
    </row>
    <row r="35" spans="1:7" x14ac:dyDescent="0.25">
      <c r="A35" s="74" t="s">
        <v>565</v>
      </c>
      <c r="B35" s="31" t="s">
        <v>566</v>
      </c>
      <c r="C35" s="31" t="s">
        <v>2028</v>
      </c>
      <c r="D35" s="14">
        <v>17955</v>
      </c>
      <c r="E35" s="15">
        <v>134.18</v>
      </c>
      <c r="F35" s="16">
        <v>7.1000000000000004E-3</v>
      </c>
      <c r="G35" s="75"/>
    </row>
    <row r="36" spans="1:7" x14ac:dyDescent="0.25">
      <c r="A36" s="74" t="s">
        <v>708</v>
      </c>
      <c r="B36" s="31" t="s">
        <v>709</v>
      </c>
      <c r="C36" s="31" t="s">
        <v>459</v>
      </c>
      <c r="D36" s="14">
        <v>57070</v>
      </c>
      <c r="E36" s="15">
        <v>123.73</v>
      </c>
      <c r="F36" s="16">
        <v>6.6E-3</v>
      </c>
      <c r="G36" s="75"/>
    </row>
    <row r="37" spans="1:7" x14ac:dyDescent="0.25">
      <c r="A37" s="74" t="s">
        <v>483</v>
      </c>
      <c r="B37" s="31" t="s">
        <v>484</v>
      </c>
      <c r="C37" s="31" t="s">
        <v>2028</v>
      </c>
      <c r="D37" s="14">
        <v>5741</v>
      </c>
      <c r="E37" s="15">
        <v>117.61</v>
      </c>
      <c r="F37" s="16">
        <v>6.1999999999999998E-3</v>
      </c>
      <c r="G37" s="75"/>
    </row>
    <row r="38" spans="1:7" x14ac:dyDescent="0.25">
      <c r="A38" s="74" t="s">
        <v>1038</v>
      </c>
      <c r="B38" s="31" t="s">
        <v>1039</v>
      </c>
      <c r="C38" s="31" t="s">
        <v>558</v>
      </c>
      <c r="D38" s="14">
        <v>5815</v>
      </c>
      <c r="E38" s="15">
        <v>112.93</v>
      </c>
      <c r="F38" s="16">
        <v>6.0000000000000001E-3</v>
      </c>
      <c r="G38" s="75"/>
    </row>
    <row r="39" spans="1:7" x14ac:dyDescent="0.25">
      <c r="A39" s="74" t="s">
        <v>737</v>
      </c>
      <c r="B39" s="31" t="s">
        <v>738</v>
      </c>
      <c r="C39" s="31" t="s">
        <v>2027</v>
      </c>
      <c r="D39" s="14">
        <v>2336</v>
      </c>
      <c r="E39" s="15">
        <v>111.32</v>
      </c>
      <c r="F39" s="16">
        <v>5.8999999999999999E-3</v>
      </c>
      <c r="G39" s="75"/>
    </row>
    <row r="40" spans="1:7" x14ac:dyDescent="0.25">
      <c r="A40" s="74" t="s">
        <v>561</v>
      </c>
      <c r="B40" s="31" t="s">
        <v>562</v>
      </c>
      <c r="C40" s="31" t="s">
        <v>487</v>
      </c>
      <c r="D40" s="14">
        <v>9715</v>
      </c>
      <c r="E40" s="15">
        <v>108.95</v>
      </c>
      <c r="F40" s="16">
        <v>5.7999999999999996E-3</v>
      </c>
      <c r="G40" s="75"/>
    </row>
    <row r="41" spans="1:7" x14ac:dyDescent="0.25">
      <c r="A41" s="74" t="s">
        <v>527</v>
      </c>
      <c r="B41" s="31" t="s">
        <v>528</v>
      </c>
      <c r="C41" s="31" t="s">
        <v>2030</v>
      </c>
      <c r="D41" s="14">
        <v>3846</v>
      </c>
      <c r="E41" s="15">
        <v>103.05</v>
      </c>
      <c r="F41" s="16">
        <v>5.4999999999999997E-3</v>
      </c>
      <c r="G41" s="75"/>
    </row>
    <row r="42" spans="1:7" x14ac:dyDescent="0.25">
      <c r="A42" s="74" t="s">
        <v>1341</v>
      </c>
      <c r="B42" s="31" t="s">
        <v>1342</v>
      </c>
      <c r="C42" s="31" t="s">
        <v>677</v>
      </c>
      <c r="D42" s="14">
        <v>6046</v>
      </c>
      <c r="E42" s="15">
        <v>102.15</v>
      </c>
      <c r="F42" s="16">
        <v>5.4000000000000003E-3</v>
      </c>
      <c r="G42" s="75"/>
    </row>
    <row r="43" spans="1:7" x14ac:dyDescent="0.25">
      <c r="A43" s="74" t="s">
        <v>741</v>
      </c>
      <c r="B43" s="31" t="s">
        <v>742</v>
      </c>
      <c r="C43" s="31" t="s">
        <v>2032</v>
      </c>
      <c r="D43" s="14">
        <v>12662</v>
      </c>
      <c r="E43" s="15">
        <v>102.13</v>
      </c>
      <c r="F43" s="16">
        <v>5.4000000000000003E-3</v>
      </c>
      <c r="G43" s="75"/>
    </row>
    <row r="44" spans="1:7" x14ac:dyDescent="0.25">
      <c r="A44" s="74" t="s">
        <v>545</v>
      </c>
      <c r="B44" s="31" t="s">
        <v>546</v>
      </c>
      <c r="C44" s="31" t="s">
        <v>480</v>
      </c>
      <c r="D44" s="14">
        <v>33864</v>
      </c>
      <c r="E44" s="15">
        <v>101.34</v>
      </c>
      <c r="F44" s="16">
        <v>5.4000000000000003E-3</v>
      </c>
      <c r="G44" s="75"/>
    </row>
    <row r="45" spans="1:7" x14ac:dyDescent="0.25">
      <c r="A45" s="74" t="s">
        <v>631</v>
      </c>
      <c r="B45" s="31" t="s">
        <v>632</v>
      </c>
      <c r="C45" s="31" t="s">
        <v>2027</v>
      </c>
      <c r="D45" s="14">
        <v>2987</v>
      </c>
      <c r="E45" s="15">
        <v>100.87</v>
      </c>
      <c r="F45" s="16">
        <v>5.4000000000000003E-3</v>
      </c>
      <c r="G45" s="75"/>
    </row>
    <row r="46" spans="1:7" x14ac:dyDescent="0.25">
      <c r="A46" s="74" t="s">
        <v>553</v>
      </c>
      <c r="B46" s="31" t="s">
        <v>554</v>
      </c>
      <c r="C46" s="31" t="s">
        <v>1429</v>
      </c>
      <c r="D46" s="14">
        <v>9347</v>
      </c>
      <c r="E46" s="15">
        <v>95.16</v>
      </c>
      <c r="F46" s="16">
        <v>5.1000000000000004E-3</v>
      </c>
      <c r="G46" s="75"/>
    </row>
    <row r="47" spans="1:7" x14ac:dyDescent="0.25">
      <c r="A47" s="74" t="s">
        <v>639</v>
      </c>
      <c r="B47" s="31" t="s">
        <v>640</v>
      </c>
      <c r="C47" s="31" t="s">
        <v>608</v>
      </c>
      <c r="D47" s="14">
        <v>39291</v>
      </c>
      <c r="E47" s="15">
        <v>93.71</v>
      </c>
      <c r="F47" s="16">
        <v>5.0000000000000001E-3</v>
      </c>
      <c r="G47" s="75"/>
    </row>
    <row r="48" spans="1:7" x14ac:dyDescent="0.25">
      <c r="A48" s="74" t="s">
        <v>454</v>
      </c>
      <c r="B48" s="31" t="s">
        <v>455</v>
      </c>
      <c r="C48" s="31" t="s">
        <v>456</v>
      </c>
      <c r="D48" s="14">
        <v>91992</v>
      </c>
      <c r="E48" s="15">
        <v>90.66</v>
      </c>
      <c r="F48" s="16">
        <v>4.7999999999999996E-3</v>
      </c>
      <c r="G48" s="75"/>
    </row>
    <row r="49" spans="1:7" x14ac:dyDescent="0.25">
      <c r="A49" s="74" t="s">
        <v>499</v>
      </c>
      <c r="B49" s="31" t="s">
        <v>500</v>
      </c>
      <c r="C49" s="31" t="s">
        <v>501</v>
      </c>
      <c r="D49" s="14">
        <v>6016</v>
      </c>
      <c r="E49" s="15">
        <v>89.33</v>
      </c>
      <c r="F49" s="16">
        <v>4.7000000000000002E-3</v>
      </c>
      <c r="G49" s="75"/>
    </row>
    <row r="50" spans="1:7" x14ac:dyDescent="0.25">
      <c r="A50" s="74" t="s">
        <v>684</v>
      </c>
      <c r="B50" s="31" t="s">
        <v>685</v>
      </c>
      <c r="C50" s="31" t="s">
        <v>450</v>
      </c>
      <c r="D50" s="14">
        <v>10251</v>
      </c>
      <c r="E50" s="15">
        <v>87.31</v>
      </c>
      <c r="F50" s="16">
        <v>4.5999999999999999E-3</v>
      </c>
      <c r="G50" s="75"/>
    </row>
    <row r="51" spans="1:7" x14ac:dyDescent="0.25">
      <c r="A51" s="74" t="s">
        <v>765</v>
      </c>
      <c r="B51" s="31" t="s">
        <v>766</v>
      </c>
      <c r="C51" s="31" t="s">
        <v>2035</v>
      </c>
      <c r="D51" s="14">
        <v>198</v>
      </c>
      <c r="E51" s="15">
        <v>85.51</v>
      </c>
      <c r="F51" s="16">
        <v>4.4999999999999997E-3</v>
      </c>
      <c r="G51" s="75"/>
    </row>
    <row r="52" spans="1:7" x14ac:dyDescent="0.25">
      <c r="A52" s="74" t="s">
        <v>535</v>
      </c>
      <c r="B52" s="31" t="s">
        <v>536</v>
      </c>
      <c r="C52" s="31" t="s">
        <v>2028</v>
      </c>
      <c r="D52" s="14">
        <v>9386</v>
      </c>
      <c r="E52" s="15">
        <v>83.38</v>
      </c>
      <c r="F52" s="16">
        <v>4.4000000000000003E-3</v>
      </c>
      <c r="G52" s="75"/>
    </row>
    <row r="53" spans="1:7" x14ac:dyDescent="0.25">
      <c r="A53" s="74" t="s">
        <v>1021</v>
      </c>
      <c r="B53" s="31" t="s">
        <v>1022</v>
      </c>
      <c r="C53" s="31" t="s">
        <v>2027</v>
      </c>
      <c r="D53" s="14">
        <v>913</v>
      </c>
      <c r="E53" s="15">
        <v>80.709999999999994</v>
      </c>
      <c r="F53" s="16">
        <v>4.3E-3</v>
      </c>
      <c r="G53" s="75"/>
    </row>
    <row r="54" spans="1:7" x14ac:dyDescent="0.25">
      <c r="A54" s="74" t="s">
        <v>675</v>
      </c>
      <c r="B54" s="31" t="s">
        <v>676</v>
      </c>
      <c r="C54" s="31" t="s">
        <v>677</v>
      </c>
      <c r="D54" s="14">
        <v>6205</v>
      </c>
      <c r="E54" s="15">
        <v>79.14</v>
      </c>
      <c r="F54" s="16">
        <v>4.1999999999999997E-3</v>
      </c>
      <c r="G54" s="75"/>
    </row>
    <row r="55" spans="1:7" x14ac:dyDescent="0.25">
      <c r="A55" s="74" t="s">
        <v>1261</v>
      </c>
      <c r="B55" s="31" t="s">
        <v>1262</v>
      </c>
      <c r="C55" s="31" t="s">
        <v>677</v>
      </c>
      <c r="D55" s="14">
        <v>25951</v>
      </c>
      <c r="E55" s="15">
        <v>78.400000000000006</v>
      </c>
      <c r="F55" s="16">
        <v>4.1999999999999997E-3</v>
      </c>
      <c r="G55" s="75"/>
    </row>
    <row r="56" spans="1:7" x14ac:dyDescent="0.25">
      <c r="A56" s="74" t="s">
        <v>1036</v>
      </c>
      <c r="B56" s="31" t="s">
        <v>1037</v>
      </c>
      <c r="C56" s="31" t="s">
        <v>2025</v>
      </c>
      <c r="D56" s="14">
        <v>4618</v>
      </c>
      <c r="E56" s="15">
        <v>75.03</v>
      </c>
      <c r="F56" s="16">
        <v>4.0000000000000001E-3</v>
      </c>
      <c r="G56" s="75"/>
    </row>
    <row r="57" spans="1:7" x14ac:dyDescent="0.25">
      <c r="A57" s="74" t="s">
        <v>488</v>
      </c>
      <c r="B57" s="31" t="s">
        <v>489</v>
      </c>
      <c r="C57" s="31" t="s">
        <v>2027</v>
      </c>
      <c r="D57" s="14">
        <v>1679</v>
      </c>
      <c r="E57" s="15">
        <v>74.84</v>
      </c>
      <c r="F57" s="16">
        <v>4.0000000000000001E-3</v>
      </c>
      <c r="G57" s="75"/>
    </row>
    <row r="58" spans="1:7" x14ac:dyDescent="0.25">
      <c r="A58" s="74" t="s">
        <v>726</v>
      </c>
      <c r="B58" s="31" t="s">
        <v>727</v>
      </c>
      <c r="C58" s="31" t="s">
        <v>728</v>
      </c>
      <c r="D58" s="14">
        <v>45584</v>
      </c>
      <c r="E58" s="15">
        <v>74.709999999999994</v>
      </c>
      <c r="F58" s="16">
        <v>4.0000000000000001E-3</v>
      </c>
      <c r="G58" s="75"/>
    </row>
    <row r="59" spans="1:7" x14ac:dyDescent="0.25">
      <c r="A59" s="74" t="s">
        <v>769</v>
      </c>
      <c r="B59" s="31" t="s">
        <v>770</v>
      </c>
      <c r="C59" s="31" t="s">
        <v>2033</v>
      </c>
      <c r="D59" s="14">
        <v>3452</v>
      </c>
      <c r="E59" s="15">
        <v>74.489999999999995</v>
      </c>
      <c r="F59" s="16">
        <v>4.0000000000000001E-3</v>
      </c>
      <c r="G59" s="75"/>
    </row>
    <row r="60" spans="1:7" x14ac:dyDescent="0.25">
      <c r="A60" s="74" t="s">
        <v>1058</v>
      </c>
      <c r="B60" s="31" t="s">
        <v>1059</v>
      </c>
      <c r="C60" s="31" t="s">
        <v>514</v>
      </c>
      <c r="D60" s="14">
        <v>11661</v>
      </c>
      <c r="E60" s="15">
        <v>72.44</v>
      </c>
      <c r="F60" s="16">
        <v>3.8E-3</v>
      </c>
      <c r="G60" s="75"/>
    </row>
    <row r="61" spans="1:7" x14ac:dyDescent="0.25">
      <c r="A61" s="74" t="s">
        <v>543</v>
      </c>
      <c r="B61" s="31" t="s">
        <v>544</v>
      </c>
      <c r="C61" s="31" t="s">
        <v>2026</v>
      </c>
      <c r="D61" s="14">
        <v>43849</v>
      </c>
      <c r="E61" s="15">
        <v>71.28</v>
      </c>
      <c r="F61" s="16">
        <v>3.8E-3</v>
      </c>
      <c r="G61" s="75"/>
    </row>
    <row r="62" spans="1:7" x14ac:dyDescent="0.25">
      <c r="A62" s="74" t="s">
        <v>1143</v>
      </c>
      <c r="B62" s="31" t="s">
        <v>1144</v>
      </c>
      <c r="C62" s="31" t="s">
        <v>2030</v>
      </c>
      <c r="D62" s="14">
        <v>675</v>
      </c>
      <c r="E62" s="15">
        <v>69.47</v>
      </c>
      <c r="F62" s="16">
        <v>3.7000000000000002E-3</v>
      </c>
      <c r="G62" s="75"/>
    </row>
    <row r="63" spans="1:7" x14ac:dyDescent="0.25">
      <c r="A63" s="74" t="s">
        <v>1025</v>
      </c>
      <c r="B63" s="31" t="s">
        <v>1026</v>
      </c>
      <c r="C63" s="31" t="s">
        <v>450</v>
      </c>
      <c r="D63" s="14">
        <v>64718</v>
      </c>
      <c r="E63" s="15">
        <v>68.92</v>
      </c>
      <c r="F63" s="16">
        <v>3.7000000000000002E-3</v>
      </c>
      <c r="G63" s="75"/>
    </row>
    <row r="64" spans="1:7" x14ac:dyDescent="0.25">
      <c r="A64" s="74" t="s">
        <v>761</v>
      </c>
      <c r="B64" s="31" t="s">
        <v>762</v>
      </c>
      <c r="C64" s="31" t="s">
        <v>2030</v>
      </c>
      <c r="D64" s="14">
        <v>7133</v>
      </c>
      <c r="E64" s="15">
        <v>68.239999999999995</v>
      </c>
      <c r="F64" s="16">
        <v>3.5999999999999999E-3</v>
      </c>
      <c r="G64" s="75"/>
    </row>
    <row r="65" spans="1:7" x14ac:dyDescent="0.25">
      <c r="A65" s="74" t="s">
        <v>694</v>
      </c>
      <c r="B65" s="31" t="s">
        <v>695</v>
      </c>
      <c r="C65" s="31" t="s">
        <v>2032</v>
      </c>
      <c r="D65" s="14">
        <v>10566</v>
      </c>
      <c r="E65" s="15">
        <v>66.11</v>
      </c>
      <c r="F65" s="16">
        <v>3.5000000000000001E-3</v>
      </c>
      <c r="G65" s="75"/>
    </row>
    <row r="66" spans="1:7" x14ac:dyDescent="0.25">
      <c r="A66" s="74" t="s">
        <v>567</v>
      </c>
      <c r="B66" s="31" t="s">
        <v>568</v>
      </c>
      <c r="C66" s="31" t="s">
        <v>2030</v>
      </c>
      <c r="D66" s="14">
        <v>2932</v>
      </c>
      <c r="E66" s="15">
        <v>65.790000000000006</v>
      </c>
      <c r="F66" s="16">
        <v>3.5000000000000001E-3</v>
      </c>
      <c r="G66" s="75"/>
    </row>
    <row r="67" spans="1:7" x14ac:dyDescent="0.25">
      <c r="A67" s="74" t="s">
        <v>791</v>
      </c>
      <c r="B67" s="31" t="s">
        <v>792</v>
      </c>
      <c r="C67" s="31" t="s">
        <v>2028</v>
      </c>
      <c r="D67" s="14">
        <v>12984</v>
      </c>
      <c r="E67" s="15">
        <v>65.400000000000006</v>
      </c>
      <c r="F67" s="16">
        <v>3.5000000000000001E-3</v>
      </c>
      <c r="G67" s="75"/>
    </row>
    <row r="68" spans="1:7" x14ac:dyDescent="0.25">
      <c r="A68" s="74" t="s">
        <v>586</v>
      </c>
      <c r="B68" s="31" t="s">
        <v>587</v>
      </c>
      <c r="C68" s="31" t="s">
        <v>2031</v>
      </c>
      <c r="D68" s="14">
        <v>8370</v>
      </c>
      <c r="E68" s="15">
        <v>64.42</v>
      </c>
      <c r="F68" s="16">
        <v>3.3999999999999998E-3</v>
      </c>
      <c r="G68" s="75"/>
    </row>
    <row r="69" spans="1:7" x14ac:dyDescent="0.25">
      <c r="A69" s="74" t="s">
        <v>1311</v>
      </c>
      <c r="B69" s="31" t="s">
        <v>1312</v>
      </c>
      <c r="C69" s="31" t="s">
        <v>1429</v>
      </c>
      <c r="D69" s="14">
        <v>3484</v>
      </c>
      <c r="E69" s="15">
        <v>63.09</v>
      </c>
      <c r="F69" s="16">
        <v>3.3E-3</v>
      </c>
      <c r="G69" s="75"/>
    </row>
    <row r="70" spans="1:7" x14ac:dyDescent="0.25">
      <c r="A70" s="74" t="s">
        <v>712</v>
      </c>
      <c r="B70" s="31" t="s">
        <v>713</v>
      </c>
      <c r="C70" s="31" t="s">
        <v>1429</v>
      </c>
      <c r="D70" s="14">
        <v>9408</v>
      </c>
      <c r="E70" s="15">
        <v>62.9</v>
      </c>
      <c r="F70" s="16">
        <v>3.3E-3</v>
      </c>
      <c r="G70" s="75"/>
    </row>
    <row r="71" spans="1:7" x14ac:dyDescent="0.25">
      <c r="A71" s="74" t="s">
        <v>1287</v>
      </c>
      <c r="B71" s="31" t="s">
        <v>1288</v>
      </c>
      <c r="C71" s="31" t="s">
        <v>1429</v>
      </c>
      <c r="D71" s="14">
        <v>817</v>
      </c>
      <c r="E71" s="15">
        <v>61.27</v>
      </c>
      <c r="F71" s="16">
        <v>3.3E-3</v>
      </c>
      <c r="G71" s="75"/>
    </row>
    <row r="72" spans="1:7" x14ac:dyDescent="0.25">
      <c r="A72" s="74" t="s">
        <v>745</v>
      </c>
      <c r="B72" s="31" t="s">
        <v>746</v>
      </c>
      <c r="C72" s="31" t="s">
        <v>615</v>
      </c>
      <c r="D72" s="14">
        <v>15664</v>
      </c>
      <c r="E72" s="15">
        <v>58.58</v>
      </c>
      <c r="F72" s="16">
        <v>3.0999999999999999E-3</v>
      </c>
      <c r="G72" s="75"/>
    </row>
    <row r="73" spans="1:7" x14ac:dyDescent="0.25">
      <c r="A73" s="74" t="s">
        <v>1099</v>
      </c>
      <c r="B73" s="31" t="s">
        <v>1100</v>
      </c>
      <c r="C73" s="31" t="s">
        <v>2028</v>
      </c>
      <c r="D73" s="14">
        <v>1816</v>
      </c>
      <c r="E73" s="15">
        <v>58.23</v>
      </c>
      <c r="F73" s="16">
        <v>3.0999999999999999E-3</v>
      </c>
      <c r="G73" s="75"/>
    </row>
    <row r="74" spans="1:7" x14ac:dyDescent="0.25">
      <c r="A74" s="74" t="s">
        <v>1179</v>
      </c>
      <c r="B74" s="31" t="s">
        <v>1180</v>
      </c>
      <c r="C74" s="31" t="s">
        <v>459</v>
      </c>
      <c r="D74" s="14">
        <v>15070</v>
      </c>
      <c r="E74" s="15">
        <v>57.11</v>
      </c>
      <c r="F74" s="16">
        <v>3.0000000000000001E-3</v>
      </c>
      <c r="G74" s="75"/>
    </row>
    <row r="75" spans="1:7" x14ac:dyDescent="0.25">
      <c r="A75" s="74" t="s">
        <v>1382</v>
      </c>
      <c r="B75" s="31" t="s">
        <v>1383</v>
      </c>
      <c r="C75" s="31" t="s">
        <v>1429</v>
      </c>
      <c r="D75" s="14">
        <v>1401</v>
      </c>
      <c r="E75" s="15">
        <v>56.07</v>
      </c>
      <c r="F75" s="16">
        <v>3.0000000000000001E-3</v>
      </c>
      <c r="G75" s="75"/>
    </row>
    <row r="76" spans="1:7" x14ac:dyDescent="0.25">
      <c r="A76" s="74" t="s">
        <v>803</v>
      </c>
      <c r="B76" s="31" t="s">
        <v>804</v>
      </c>
      <c r="C76" s="31" t="s">
        <v>2028</v>
      </c>
      <c r="D76" s="14">
        <v>1501</v>
      </c>
      <c r="E76" s="15">
        <v>46.23</v>
      </c>
      <c r="F76" s="16">
        <v>2.5000000000000001E-3</v>
      </c>
      <c r="G76" s="75"/>
    </row>
    <row r="77" spans="1:7" x14ac:dyDescent="0.25">
      <c r="A77" s="74" t="s">
        <v>1384</v>
      </c>
      <c r="B77" s="31" t="s">
        <v>1385</v>
      </c>
      <c r="C77" s="31" t="s">
        <v>2027</v>
      </c>
      <c r="D77" s="14">
        <v>6155</v>
      </c>
      <c r="E77" s="15">
        <v>45.51</v>
      </c>
      <c r="F77" s="16">
        <v>2.3999999999999998E-3</v>
      </c>
      <c r="G77" s="75"/>
    </row>
    <row r="78" spans="1:7" x14ac:dyDescent="0.25">
      <c r="A78" s="74" t="s">
        <v>1067</v>
      </c>
      <c r="B78" s="31" t="s">
        <v>1068</v>
      </c>
      <c r="C78" s="31" t="s">
        <v>450</v>
      </c>
      <c r="D78" s="14">
        <v>8400</v>
      </c>
      <c r="E78" s="15">
        <v>43.84</v>
      </c>
      <c r="F78" s="16">
        <v>2.3E-3</v>
      </c>
      <c r="G78" s="75"/>
    </row>
    <row r="79" spans="1:7" x14ac:dyDescent="0.25">
      <c r="A79" s="74" t="s">
        <v>616</v>
      </c>
      <c r="B79" s="31" t="s">
        <v>617</v>
      </c>
      <c r="C79" s="31" t="s">
        <v>608</v>
      </c>
      <c r="D79" s="14">
        <v>1470</v>
      </c>
      <c r="E79" s="15">
        <v>38.76</v>
      </c>
      <c r="F79" s="16">
        <v>2.0999999999999999E-3</v>
      </c>
      <c r="G79" s="75"/>
    </row>
    <row r="80" spans="1:7" x14ac:dyDescent="0.25">
      <c r="A80" s="74" t="s">
        <v>1275</v>
      </c>
      <c r="B80" s="31" t="s">
        <v>1276</v>
      </c>
      <c r="C80" s="31" t="s">
        <v>450</v>
      </c>
      <c r="D80" s="14">
        <v>1070</v>
      </c>
      <c r="E80" s="15">
        <v>35.29</v>
      </c>
      <c r="F80" s="16">
        <v>1.9E-3</v>
      </c>
      <c r="G80" s="75"/>
    </row>
    <row r="81" spans="1:7" x14ac:dyDescent="0.25">
      <c r="A81" s="74" t="s">
        <v>2020</v>
      </c>
      <c r="B81" s="31" t="s">
        <v>1029</v>
      </c>
      <c r="C81" s="31" t="s">
        <v>494</v>
      </c>
      <c r="D81" s="14">
        <v>10400</v>
      </c>
      <c r="E81" s="15">
        <v>32.57</v>
      </c>
      <c r="F81" s="16">
        <v>1.6999999999999999E-3</v>
      </c>
      <c r="G81" s="75"/>
    </row>
    <row r="82" spans="1:7" x14ac:dyDescent="0.25">
      <c r="A82" s="74" t="s">
        <v>1048</v>
      </c>
      <c r="B82" s="31" t="s">
        <v>1049</v>
      </c>
      <c r="C82" s="31" t="s">
        <v>2030</v>
      </c>
      <c r="D82" s="14">
        <v>326</v>
      </c>
      <c r="E82" s="15">
        <v>8.94</v>
      </c>
      <c r="F82" s="16">
        <v>5.0000000000000001E-4</v>
      </c>
      <c r="G82" s="75"/>
    </row>
    <row r="83" spans="1:7" x14ac:dyDescent="0.25">
      <c r="A83" s="74" t="s">
        <v>441</v>
      </c>
      <c r="B83" s="31" t="s">
        <v>1066</v>
      </c>
      <c r="C83" s="31" t="s">
        <v>443</v>
      </c>
      <c r="D83" s="14">
        <v>1755</v>
      </c>
      <c r="E83" s="15">
        <v>6.95</v>
      </c>
      <c r="F83" s="16">
        <v>4.0000000000000002E-4</v>
      </c>
      <c r="G83" s="75"/>
    </row>
    <row r="84" spans="1:7" x14ac:dyDescent="0.25">
      <c r="A84" s="76" t="s">
        <v>90</v>
      </c>
      <c r="B84" s="32"/>
      <c r="C84" s="32"/>
      <c r="D84" s="18"/>
      <c r="E84" s="35">
        <v>14104.62</v>
      </c>
      <c r="F84" s="36">
        <v>0.74919999999999998</v>
      </c>
      <c r="G84" s="77"/>
    </row>
    <row r="85" spans="1:7" x14ac:dyDescent="0.25">
      <c r="A85" s="76" t="s">
        <v>815</v>
      </c>
      <c r="B85" s="31"/>
      <c r="C85" s="31"/>
      <c r="D85" s="14"/>
      <c r="E85" s="15"/>
      <c r="F85" s="16"/>
      <c r="G85" s="75"/>
    </row>
    <row r="86" spans="1:7" x14ac:dyDescent="0.25">
      <c r="A86" s="76" t="s">
        <v>90</v>
      </c>
      <c r="B86" s="31"/>
      <c r="C86" s="31"/>
      <c r="D86" s="14"/>
      <c r="E86" s="37" t="s">
        <v>85</v>
      </c>
      <c r="F86" s="38" t="s">
        <v>85</v>
      </c>
      <c r="G86" s="75"/>
    </row>
    <row r="87" spans="1:7" x14ac:dyDescent="0.25">
      <c r="A87" s="78" t="s">
        <v>93</v>
      </c>
      <c r="B87" s="79"/>
      <c r="C87" s="79"/>
      <c r="D87" s="80"/>
      <c r="E87" s="28">
        <v>14104.62</v>
      </c>
      <c r="F87" s="29">
        <v>0.74919999999999998</v>
      </c>
      <c r="G87" s="77"/>
    </row>
    <row r="88" spans="1:7" x14ac:dyDescent="0.25">
      <c r="A88" s="74"/>
      <c r="B88" s="31"/>
      <c r="C88" s="31"/>
      <c r="D88" s="14"/>
      <c r="E88" s="15"/>
      <c r="F88" s="16"/>
      <c r="G88" s="75"/>
    </row>
    <row r="89" spans="1:7" x14ac:dyDescent="0.25">
      <c r="A89" s="76" t="s">
        <v>1081</v>
      </c>
      <c r="B89" s="32"/>
      <c r="C89" s="32"/>
      <c r="D89" s="18"/>
      <c r="E89" s="42"/>
      <c r="F89" s="21"/>
      <c r="G89" s="77"/>
    </row>
    <row r="90" spans="1:7" x14ac:dyDescent="0.25">
      <c r="A90" s="74" t="s">
        <v>1386</v>
      </c>
      <c r="B90" s="31"/>
      <c r="C90" s="31"/>
      <c r="D90" s="14">
        <v>6000</v>
      </c>
      <c r="E90" s="15">
        <v>123.1</v>
      </c>
      <c r="F90" s="16">
        <v>6.4999999999999997E-3</v>
      </c>
      <c r="G90" s="75"/>
    </row>
    <row r="91" spans="1:7" x14ac:dyDescent="0.25">
      <c r="A91" s="76" t="s">
        <v>90</v>
      </c>
      <c r="B91" s="32"/>
      <c r="C91" s="32"/>
      <c r="D91" s="18"/>
      <c r="E91" s="35">
        <v>123.1</v>
      </c>
      <c r="F91" s="36">
        <v>6.4999999999999997E-3</v>
      </c>
      <c r="G91" s="77"/>
    </row>
    <row r="92" spans="1:7" x14ac:dyDescent="0.25">
      <c r="A92" s="74"/>
      <c r="B92" s="31"/>
      <c r="C92" s="31"/>
      <c r="D92" s="14"/>
      <c r="E92" s="15"/>
      <c r="F92" s="16"/>
      <c r="G92" s="75"/>
    </row>
    <row r="93" spans="1:7" x14ac:dyDescent="0.25">
      <c r="A93" s="78" t="s">
        <v>93</v>
      </c>
      <c r="B93" s="79"/>
      <c r="C93" s="79"/>
      <c r="D93" s="80"/>
      <c r="E93" s="35">
        <v>123.1</v>
      </c>
      <c r="F93" s="36">
        <v>6.4999999999999997E-3</v>
      </c>
      <c r="G93" s="77"/>
    </row>
    <row r="94" spans="1:7" x14ac:dyDescent="0.25">
      <c r="A94" s="76" t="s">
        <v>816</v>
      </c>
      <c r="B94" s="31"/>
      <c r="C94" s="31"/>
      <c r="D94" s="14"/>
      <c r="E94" s="15"/>
      <c r="F94" s="16"/>
      <c r="G94" s="75"/>
    </row>
    <row r="95" spans="1:7" x14ac:dyDescent="0.25">
      <c r="A95" s="76" t="s">
        <v>817</v>
      </c>
      <c r="B95" s="31"/>
      <c r="C95" s="31"/>
      <c r="D95" s="14"/>
      <c r="E95" s="15"/>
      <c r="F95" s="16"/>
      <c r="G95" s="75"/>
    </row>
    <row r="96" spans="1:7" x14ac:dyDescent="0.25">
      <c r="A96" s="74" t="s">
        <v>947</v>
      </c>
      <c r="B96" s="31"/>
      <c r="C96" s="31"/>
      <c r="D96" s="14">
        <v>28050</v>
      </c>
      <c r="E96" s="15">
        <v>413.93</v>
      </c>
      <c r="F96" s="16">
        <v>2.1978999999999999E-2</v>
      </c>
      <c r="G96" s="75"/>
    </row>
    <row r="97" spans="1:7" x14ac:dyDescent="0.25">
      <c r="A97" s="74" t="s">
        <v>1075</v>
      </c>
      <c r="B97" s="31"/>
      <c r="C97" s="31"/>
      <c r="D97" s="14">
        <v>225</v>
      </c>
      <c r="E97" s="15">
        <v>82.25</v>
      </c>
      <c r="F97" s="16">
        <v>4.3670000000000002E-3</v>
      </c>
      <c r="G97" s="75"/>
    </row>
    <row r="98" spans="1:7" x14ac:dyDescent="0.25">
      <c r="A98" s="74" t="s">
        <v>1079</v>
      </c>
      <c r="B98" s="31"/>
      <c r="C98" s="31"/>
      <c r="D98" s="39">
        <v>-26950</v>
      </c>
      <c r="E98" s="24">
        <v>-407.19</v>
      </c>
      <c r="F98" s="25">
        <v>-2.1621000000000001E-2</v>
      </c>
      <c r="G98" s="75"/>
    </row>
    <row r="99" spans="1:7" x14ac:dyDescent="0.25">
      <c r="A99" s="76" t="s">
        <v>90</v>
      </c>
      <c r="B99" s="32"/>
      <c r="C99" s="32"/>
      <c r="D99" s="18"/>
      <c r="E99" s="35">
        <v>88.99</v>
      </c>
      <c r="F99" s="36">
        <v>4.725E-3</v>
      </c>
      <c r="G99" s="77"/>
    </row>
    <row r="100" spans="1:7" x14ac:dyDescent="0.25">
      <c r="A100" s="74"/>
      <c r="B100" s="31"/>
      <c r="C100" s="31"/>
      <c r="D100" s="14"/>
      <c r="E100" s="15"/>
      <c r="F100" s="16"/>
      <c r="G100" s="75"/>
    </row>
    <row r="101" spans="1:7" x14ac:dyDescent="0.25">
      <c r="A101" s="74"/>
      <c r="B101" s="31"/>
      <c r="C101" s="31"/>
      <c r="D101" s="14"/>
      <c r="E101" s="15"/>
      <c r="F101" s="16"/>
      <c r="G101" s="75"/>
    </row>
    <row r="102" spans="1:7" x14ac:dyDescent="0.25">
      <c r="A102" s="76" t="s">
        <v>86</v>
      </c>
      <c r="B102" s="31"/>
      <c r="C102" s="31"/>
      <c r="D102" s="14"/>
      <c r="E102" s="15"/>
      <c r="F102" s="16"/>
      <c r="G102" s="75"/>
    </row>
    <row r="103" spans="1:7" x14ac:dyDescent="0.25">
      <c r="A103" s="76" t="s">
        <v>87</v>
      </c>
      <c r="B103" s="31"/>
      <c r="C103" s="31"/>
      <c r="D103" s="14"/>
      <c r="E103" s="15"/>
      <c r="F103" s="16"/>
      <c r="G103" s="75"/>
    </row>
    <row r="104" spans="1:7" x14ac:dyDescent="0.25">
      <c r="A104" s="74" t="s">
        <v>1965</v>
      </c>
      <c r="B104" s="31" t="s">
        <v>1089</v>
      </c>
      <c r="C104" s="31" t="s">
        <v>121</v>
      </c>
      <c r="D104" s="14">
        <v>325</v>
      </c>
      <c r="E104" s="15">
        <v>0.09</v>
      </c>
      <c r="F104" s="53" t="s">
        <v>2022</v>
      </c>
      <c r="G104" s="75">
        <v>5.6500000000000002E-2</v>
      </c>
    </row>
    <row r="105" spans="1:7" x14ac:dyDescent="0.25">
      <c r="A105" s="76" t="s">
        <v>90</v>
      </c>
      <c r="B105" s="32"/>
      <c r="C105" s="32"/>
      <c r="D105" s="18"/>
      <c r="E105" s="35">
        <v>0.09</v>
      </c>
      <c r="F105" s="106" t="s">
        <v>2022</v>
      </c>
      <c r="G105" s="77"/>
    </row>
    <row r="106" spans="1:7" x14ac:dyDescent="0.25">
      <c r="A106" s="74"/>
      <c r="B106" s="31"/>
      <c r="C106" s="31"/>
      <c r="D106" s="14"/>
      <c r="E106" s="15"/>
      <c r="F106" s="16"/>
      <c r="G106" s="75"/>
    </row>
    <row r="107" spans="1:7" x14ac:dyDescent="0.25">
      <c r="A107" s="76" t="s">
        <v>195</v>
      </c>
      <c r="B107" s="31"/>
      <c r="C107" s="31"/>
      <c r="D107" s="14"/>
      <c r="E107" s="15"/>
      <c r="F107" s="16"/>
      <c r="G107" s="75"/>
    </row>
    <row r="108" spans="1:7" x14ac:dyDescent="0.25">
      <c r="A108" s="74" t="s">
        <v>1885</v>
      </c>
      <c r="B108" s="31" t="s">
        <v>388</v>
      </c>
      <c r="C108" s="31" t="s">
        <v>197</v>
      </c>
      <c r="D108" s="14">
        <v>1600000</v>
      </c>
      <c r="E108" s="15">
        <v>1578.44</v>
      </c>
      <c r="F108" s="16">
        <v>8.3799999999999999E-2</v>
      </c>
      <c r="G108" s="75">
        <v>6.0107000000000001E-2</v>
      </c>
    </row>
    <row r="109" spans="1:7" x14ac:dyDescent="0.25">
      <c r="A109" s="76" t="s">
        <v>90</v>
      </c>
      <c r="B109" s="32"/>
      <c r="C109" s="32"/>
      <c r="D109" s="18"/>
      <c r="E109" s="35">
        <v>1578.44</v>
      </c>
      <c r="F109" s="36">
        <v>8.3799999999999999E-2</v>
      </c>
      <c r="G109" s="77"/>
    </row>
    <row r="110" spans="1:7" x14ac:dyDescent="0.25">
      <c r="A110" s="74"/>
      <c r="B110" s="31"/>
      <c r="C110" s="31"/>
      <c r="D110" s="14"/>
      <c r="E110" s="15"/>
      <c r="F110" s="16"/>
      <c r="G110" s="75"/>
    </row>
    <row r="111" spans="1:7" x14ac:dyDescent="0.25">
      <c r="A111" s="76" t="s">
        <v>91</v>
      </c>
      <c r="B111" s="31"/>
      <c r="C111" s="31"/>
      <c r="D111" s="14"/>
      <c r="E111" s="15"/>
      <c r="F111" s="16"/>
      <c r="G111" s="75"/>
    </row>
    <row r="112" spans="1:7" x14ac:dyDescent="0.25">
      <c r="A112" s="76" t="s">
        <v>90</v>
      </c>
      <c r="B112" s="31"/>
      <c r="C112" s="31"/>
      <c r="D112" s="14"/>
      <c r="E112" s="37" t="s">
        <v>85</v>
      </c>
      <c r="F112" s="38" t="s">
        <v>85</v>
      </c>
      <c r="G112" s="75"/>
    </row>
    <row r="113" spans="1:7" x14ac:dyDescent="0.25">
      <c r="A113" s="74"/>
      <c r="B113" s="31"/>
      <c r="C113" s="31"/>
      <c r="D113" s="14"/>
      <c r="E113" s="15"/>
      <c r="F113" s="16"/>
      <c r="G113" s="75"/>
    </row>
    <row r="114" spans="1:7" x14ac:dyDescent="0.25">
      <c r="A114" s="76" t="s">
        <v>92</v>
      </c>
      <c r="B114" s="31"/>
      <c r="C114" s="31"/>
      <c r="D114" s="14"/>
      <c r="E114" s="15"/>
      <c r="F114" s="16"/>
      <c r="G114" s="75"/>
    </row>
    <row r="115" spans="1:7" x14ac:dyDescent="0.25">
      <c r="A115" s="76" t="s">
        <v>90</v>
      </c>
      <c r="B115" s="31"/>
      <c r="C115" s="31"/>
      <c r="D115" s="14"/>
      <c r="E115" s="37" t="s">
        <v>85</v>
      </c>
      <c r="F115" s="38" t="s">
        <v>85</v>
      </c>
      <c r="G115" s="75"/>
    </row>
    <row r="116" spans="1:7" x14ac:dyDescent="0.25">
      <c r="A116" s="74"/>
      <c r="B116" s="31"/>
      <c r="C116" s="31"/>
      <c r="D116" s="14"/>
      <c r="E116" s="15"/>
      <c r="F116" s="16"/>
      <c r="G116" s="75"/>
    </row>
    <row r="117" spans="1:7" x14ac:dyDescent="0.25">
      <c r="A117" s="78" t="s">
        <v>93</v>
      </c>
      <c r="B117" s="79"/>
      <c r="C117" s="79"/>
      <c r="D117" s="80"/>
      <c r="E117" s="35">
        <v>1578.53</v>
      </c>
      <c r="F117" s="36">
        <v>8.3799999999999999E-2</v>
      </c>
      <c r="G117" s="77"/>
    </row>
    <row r="118" spans="1:7" x14ac:dyDescent="0.25">
      <c r="A118" s="74"/>
      <c r="B118" s="31"/>
      <c r="C118" s="31"/>
      <c r="D118" s="14"/>
      <c r="E118" s="15"/>
      <c r="F118" s="16"/>
      <c r="G118" s="75"/>
    </row>
    <row r="119" spans="1:7" x14ac:dyDescent="0.25">
      <c r="A119" s="74"/>
      <c r="B119" s="31"/>
      <c r="C119" s="31"/>
      <c r="D119" s="14"/>
      <c r="E119" s="15"/>
      <c r="F119" s="16"/>
      <c r="G119" s="75"/>
    </row>
    <row r="120" spans="1:7" x14ac:dyDescent="0.25">
      <c r="A120" s="76" t="s">
        <v>319</v>
      </c>
      <c r="B120" s="31"/>
      <c r="C120" s="31"/>
      <c r="D120" s="14"/>
      <c r="E120" s="15"/>
      <c r="F120" s="16"/>
      <c r="G120" s="75"/>
    </row>
    <row r="121" spans="1:7" x14ac:dyDescent="0.25">
      <c r="A121" s="74" t="s">
        <v>1964</v>
      </c>
      <c r="B121" s="31" t="s">
        <v>1232</v>
      </c>
      <c r="C121" s="31"/>
      <c r="D121" s="14">
        <v>13802.0762</v>
      </c>
      <c r="E121" s="15">
        <v>379.23</v>
      </c>
      <c r="F121" s="16">
        <v>2.01E-2</v>
      </c>
      <c r="G121" s="75"/>
    </row>
    <row r="122" spans="1:7" x14ac:dyDescent="0.25">
      <c r="A122" s="74"/>
      <c r="B122" s="31"/>
      <c r="C122" s="31"/>
      <c r="D122" s="14"/>
      <c r="E122" s="15"/>
      <c r="F122" s="16"/>
      <c r="G122" s="75"/>
    </row>
    <row r="123" spans="1:7" x14ac:dyDescent="0.25">
      <c r="A123" s="78" t="s">
        <v>93</v>
      </c>
      <c r="B123" s="79"/>
      <c r="C123" s="79"/>
      <c r="D123" s="80"/>
      <c r="E123" s="35">
        <v>379.23</v>
      </c>
      <c r="F123" s="36">
        <v>2.01E-2</v>
      </c>
      <c r="G123" s="77"/>
    </row>
    <row r="124" spans="1:7" x14ac:dyDescent="0.25">
      <c r="A124" s="74"/>
      <c r="B124" s="31"/>
      <c r="C124" s="31"/>
      <c r="D124" s="14"/>
      <c r="E124" s="15"/>
      <c r="F124" s="16"/>
      <c r="G124" s="75"/>
    </row>
    <row r="125" spans="1:7" x14ac:dyDescent="0.25">
      <c r="A125" s="76" t="s">
        <v>110</v>
      </c>
      <c r="B125" s="31"/>
      <c r="C125" s="31"/>
      <c r="D125" s="14"/>
      <c r="E125" s="15"/>
      <c r="F125" s="16"/>
      <c r="G125" s="75"/>
    </row>
    <row r="126" spans="1:7" x14ac:dyDescent="0.25">
      <c r="A126" s="74" t="s">
        <v>111</v>
      </c>
      <c r="B126" s="31"/>
      <c r="C126" s="31"/>
      <c r="D126" s="14"/>
      <c r="E126" s="15">
        <v>2598.98</v>
      </c>
      <c r="F126" s="16">
        <v>0.13800000000000001</v>
      </c>
      <c r="G126" s="75">
        <v>3.5790000000000002E-2</v>
      </c>
    </row>
    <row r="127" spans="1:7" x14ac:dyDescent="0.25">
      <c r="A127" s="76" t="s">
        <v>90</v>
      </c>
      <c r="B127" s="32"/>
      <c r="C127" s="32"/>
      <c r="D127" s="18"/>
      <c r="E127" s="35">
        <v>2598.98</v>
      </c>
      <c r="F127" s="36">
        <v>0.13800000000000001</v>
      </c>
      <c r="G127" s="77"/>
    </row>
    <row r="128" spans="1:7" x14ac:dyDescent="0.25">
      <c r="A128" s="74"/>
      <c r="B128" s="31"/>
      <c r="C128" s="31"/>
      <c r="D128" s="14"/>
      <c r="E128" s="15"/>
      <c r="F128" s="16"/>
      <c r="G128" s="75"/>
    </row>
    <row r="129" spans="1:9" x14ac:dyDescent="0.25">
      <c r="A129" s="78" t="s">
        <v>93</v>
      </c>
      <c r="B129" s="79"/>
      <c r="C129" s="79"/>
      <c r="D129" s="80"/>
      <c r="E129" s="35">
        <v>2598.98</v>
      </c>
      <c r="F129" s="36">
        <v>0.13800000000000001</v>
      </c>
      <c r="G129" s="77"/>
    </row>
    <row r="130" spans="1:9" x14ac:dyDescent="0.25">
      <c r="A130" s="74" t="s">
        <v>112</v>
      </c>
      <c r="B130" s="31"/>
      <c r="C130" s="31"/>
      <c r="D130" s="14"/>
      <c r="E130" s="15">
        <v>42.5466871</v>
      </c>
      <c r="F130" s="16">
        <v>2.2590000000000002E-3</v>
      </c>
      <c r="G130" s="75"/>
    </row>
    <row r="131" spans="1:9" x14ac:dyDescent="0.25">
      <c r="A131" s="74" t="s">
        <v>113</v>
      </c>
      <c r="B131" s="31"/>
      <c r="C131" s="31"/>
      <c r="D131" s="14"/>
      <c r="E131" s="15">
        <v>5.7433129000000003</v>
      </c>
      <c r="F131" s="16">
        <v>1.4100000000000001E-4</v>
      </c>
      <c r="G131" s="75">
        <v>3.5790000000000002E-2</v>
      </c>
    </row>
    <row r="132" spans="1:9" x14ac:dyDescent="0.25">
      <c r="A132" s="81" t="s">
        <v>114</v>
      </c>
      <c r="B132" s="34"/>
      <c r="C132" s="34"/>
      <c r="D132" s="27"/>
      <c r="E132" s="28">
        <v>18832.75</v>
      </c>
      <c r="F132" s="29">
        <v>1</v>
      </c>
      <c r="G132" s="82"/>
    </row>
    <row r="133" spans="1:9" x14ac:dyDescent="0.25">
      <c r="A133" s="54"/>
      <c r="B133" s="56"/>
      <c r="C133" s="56"/>
      <c r="D133" s="56"/>
      <c r="E133" s="56"/>
      <c r="F133" s="56"/>
      <c r="G133" s="66"/>
    </row>
    <row r="134" spans="1:9" x14ac:dyDescent="0.25">
      <c r="A134" s="83" t="s">
        <v>1016</v>
      </c>
      <c r="B134" s="56"/>
      <c r="C134" s="56"/>
      <c r="D134" s="56"/>
      <c r="E134" s="56"/>
      <c r="F134" s="56"/>
      <c r="G134" s="66"/>
    </row>
    <row r="135" spans="1:9" x14ac:dyDescent="0.25">
      <c r="A135" s="83" t="s">
        <v>116</v>
      </c>
      <c r="B135" s="56"/>
      <c r="C135" s="56"/>
      <c r="D135" s="56"/>
      <c r="E135" s="56"/>
      <c r="F135" s="56"/>
      <c r="G135" s="66"/>
    </row>
    <row r="136" spans="1:9" x14ac:dyDescent="0.25">
      <c r="A136" s="83" t="s">
        <v>2023</v>
      </c>
      <c r="B136" s="56"/>
      <c r="C136" s="56"/>
      <c r="D136" s="56"/>
      <c r="E136" s="56"/>
      <c r="F136" s="56"/>
      <c r="G136" s="66"/>
    </row>
    <row r="137" spans="1:9" x14ac:dyDescent="0.25">
      <c r="A137" s="83"/>
      <c r="B137" s="56"/>
      <c r="C137" s="56"/>
      <c r="D137" s="56"/>
      <c r="E137" s="56"/>
      <c r="F137" s="56"/>
      <c r="G137" s="66"/>
    </row>
    <row r="138" spans="1:9" x14ac:dyDescent="0.25">
      <c r="A138" s="83" t="s">
        <v>1476</v>
      </c>
      <c r="B138" s="56"/>
      <c r="C138" s="56"/>
      <c r="D138" s="56"/>
      <c r="E138" s="56"/>
      <c r="F138" s="56"/>
      <c r="G138" s="66"/>
    </row>
    <row r="139" spans="1:9" x14ac:dyDescent="0.25">
      <c r="A139" s="84" t="s">
        <v>1477</v>
      </c>
      <c r="B139" s="85" t="s">
        <v>85</v>
      </c>
      <c r="C139" s="56"/>
      <c r="D139" s="56"/>
      <c r="E139" s="56"/>
      <c r="F139" s="56"/>
      <c r="G139" s="66"/>
    </row>
    <row r="140" spans="1:9" x14ac:dyDescent="0.25">
      <c r="A140" s="54" t="s">
        <v>1626</v>
      </c>
      <c r="B140" s="56"/>
      <c r="C140" s="56"/>
      <c r="D140" s="56"/>
      <c r="E140" s="56"/>
      <c r="F140" s="56"/>
      <c r="G140" s="66"/>
    </row>
    <row r="141" spans="1:9" x14ac:dyDescent="0.25">
      <c r="A141" s="54" t="s">
        <v>1478</v>
      </c>
      <c r="B141" s="85" t="s">
        <v>1479</v>
      </c>
      <c r="C141" s="85" t="s">
        <v>1479</v>
      </c>
      <c r="D141" s="56"/>
      <c r="E141" s="56"/>
      <c r="F141" s="56"/>
      <c r="G141" s="66"/>
    </row>
    <row r="142" spans="1:9" x14ac:dyDescent="0.25">
      <c r="A142" s="54"/>
      <c r="B142" s="86">
        <v>44469</v>
      </c>
      <c r="C142" s="86">
        <v>44651</v>
      </c>
      <c r="D142" s="56"/>
      <c r="E142" s="56"/>
      <c r="F142" s="56"/>
      <c r="G142" s="66"/>
    </row>
    <row r="143" spans="1:9" x14ac:dyDescent="0.25">
      <c r="A143" s="54" t="s">
        <v>1483</v>
      </c>
      <c r="B143" s="56">
        <v>40.450000000000003</v>
      </c>
      <c r="C143" s="56">
        <v>41.72</v>
      </c>
      <c r="D143" s="56"/>
      <c r="E143" s="59"/>
      <c r="F143" s="56"/>
      <c r="G143" s="87"/>
      <c r="I143" s="56"/>
    </row>
    <row r="144" spans="1:9" x14ac:dyDescent="0.25">
      <c r="A144" s="54" t="s">
        <v>1484</v>
      </c>
      <c r="B144" s="56">
        <v>24.66</v>
      </c>
      <c r="C144" s="56">
        <v>24.48</v>
      </c>
      <c r="D144" s="56"/>
      <c r="E144" s="59"/>
      <c r="F144" s="56"/>
      <c r="G144" s="87"/>
      <c r="I144" s="56"/>
    </row>
    <row r="145" spans="1:9" x14ac:dyDescent="0.25">
      <c r="A145" s="54" t="s">
        <v>1536</v>
      </c>
      <c r="B145" s="102">
        <v>37.1</v>
      </c>
      <c r="C145" s="56">
        <v>37.89</v>
      </c>
      <c r="D145" s="56"/>
      <c r="E145" s="59"/>
      <c r="F145" s="56"/>
      <c r="G145" s="87"/>
      <c r="I145" s="56"/>
    </row>
    <row r="146" spans="1:9" x14ac:dyDescent="0.25">
      <c r="A146" s="54" t="s">
        <v>1537</v>
      </c>
      <c r="B146" s="56">
        <v>37.82</v>
      </c>
      <c r="C146" s="56">
        <v>38.619999999999997</v>
      </c>
      <c r="D146" s="56"/>
      <c r="E146" s="59"/>
      <c r="F146" s="56"/>
      <c r="G146" s="87"/>
      <c r="I146" s="56"/>
    </row>
    <row r="147" spans="1:9" x14ac:dyDescent="0.25">
      <c r="A147" s="54" t="s">
        <v>1503</v>
      </c>
      <c r="B147" s="56">
        <v>37.590000000000003</v>
      </c>
      <c r="C147" s="56">
        <v>38.39</v>
      </c>
      <c r="D147" s="56"/>
      <c r="E147" s="59"/>
      <c r="F147" s="56"/>
      <c r="G147" s="87"/>
      <c r="I147" s="56"/>
    </row>
    <row r="148" spans="1:9" x14ac:dyDescent="0.25">
      <c r="A148" s="54" t="s">
        <v>1504</v>
      </c>
      <c r="B148" s="56">
        <v>22.45</v>
      </c>
      <c r="C148" s="56">
        <v>21.99</v>
      </c>
      <c r="D148" s="56"/>
      <c r="E148" s="59"/>
      <c r="F148" s="56"/>
      <c r="G148" s="87"/>
      <c r="I148" s="56"/>
    </row>
    <row r="149" spans="1:9" x14ac:dyDescent="0.25">
      <c r="A149" s="54"/>
      <c r="B149" s="56"/>
      <c r="C149" s="56"/>
      <c r="D149" s="56"/>
      <c r="E149" s="59"/>
      <c r="F149" s="56"/>
      <c r="G149" s="87"/>
    </row>
    <row r="150" spans="1:9" x14ac:dyDescent="0.25">
      <c r="A150" s="54" t="s">
        <v>2007</v>
      </c>
      <c r="B150" s="56"/>
      <c r="C150" s="56"/>
      <c r="D150" s="56"/>
      <c r="E150" s="56"/>
      <c r="F150" s="56"/>
      <c r="G150" s="66"/>
    </row>
    <row r="151" spans="1:9" x14ac:dyDescent="0.25">
      <c r="A151" s="54"/>
      <c r="B151" s="56"/>
      <c r="C151" s="56"/>
      <c r="D151" s="56"/>
      <c r="E151" s="56"/>
      <c r="F151" s="56"/>
      <c r="G151" s="66"/>
    </row>
    <row r="152" spans="1:9" x14ac:dyDescent="0.25">
      <c r="A152" s="93" t="s">
        <v>1507</v>
      </c>
      <c r="B152" s="94" t="s">
        <v>1508</v>
      </c>
      <c r="C152" s="95" t="s">
        <v>2018</v>
      </c>
      <c r="D152" s="95" t="s">
        <v>2019</v>
      </c>
      <c r="E152" s="56"/>
      <c r="F152" s="56"/>
      <c r="G152" s="66"/>
    </row>
    <row r="153" spans="1:9" x14ac:dyDescent="0.25">
      <c r="A153" s="96" t="s">
        <v>1515</v>
      </c>
      <c r="B153" s="97"/>
      <c r="C153" s="97">
        <v>0.94</v>
      </c>
      <c r="D153" s="97">
        <v>0.94</v>
      </c>
      <c r="E153" s="56"/>
      <c r="F153" s="56"/>
      <c r="G153" s="66"/>
    </row>
    <row r="154" spans="1:9" x14ac:dyDescent="0.25">
      <c r="A154" s="96" t="s">
        <v>1540</v>
      </c>
      <c r="B154" s="97"/>
      <c r="C154" s="97">
        <v>0.94</v>
      </c>
      <c r="D154" s="97">
        <v>0.94</v>
      </c>
      <c r="E154" s="56"/>
      <c r="F154" s="56"/>
      <c r="G154" s="66"/>
    </row>
    <row r="155" spans="1:9" x14ac:dyDescent="0.25">
      <c r="A155" s="54"/>
      <c r="B155" s="56"/>
      <c r="C155" s="56"/>
      <c r="D155" s="56"/>
      <c r="E155" s="56"/>
      <c r="F155" s="56"/>
      <c r="G155" s="66"/>
    </row>
    <row r="156" spans="1:9" x14ac:dyDescent="0.25">
      <c r="A156" s="54" t="s">
        <v>2008</v>
      </c>
      <c r="B156" s="85" t="s">
        <v>85</v>
      </c>
      <c r="C156" s="56"/>
      <c r="D156" s="56"/>
      <c r="E156" s="56"/>
      <c r="F156" s="56"/>
      <c r="G156" s="66"/>
    </row>
    <row r="157" spans="1:9" ht="20.25" customHeight="1" x14ac:dyDescent="0.25">
      <c r="A157" s="84" t="s">
        <v>2009</v>
      </c>
      <c r="B157" s="85" t="s">
        <v>85</v>
      </c>
      <c r="C157" s="56"/>
      <c r="D157" s="56"/>
      <c r="E157" s="56"/>
      <c r="F157" s="56"/>
      <c r="G157" s="66"/>
    </row>
    <row r="158" spans="1:9" x14ac:dyDescent="0.25">
      <c r="A158" s="84" t="s">
        <v>2010</v>
      </c>
      <c r="B158" s="85" t="s">
        <v>85</v>
      </c>
      <c r="C158" s="56"/>
      <c r="D158" s="56"/>
      <c r="E158" s="56"/>
      <c r="F158" s="56"/>
      <c r="G158" s="66"/>
    </row>
    <row r="159" spans="1:9" x14ac:dyDescent="0.25">
      <c r="A159" s="54" t="s">
        <v>1529</v>
      </c>
      <c r="B159" s="88">
        <v>1.887157</v>
      </c>
      <c r="C159" s="56"/>
      <c r="D159" s="56"/>
      <c r="E159" s="56"/>
      <c r="F159" s="56"/>
      <c r="G159" s="66"/>
    </row>
    <row r="160" spans="1:9" ht="30" x14ac:dyDescent="0.25">
      <c r="A160" s="84" t="s">
        <v>2011</v>
      </c>
      <c r="B160" s="88">
        <v>619.27923750000002</v>
      </c>
      <c r="C160" s="56"/>
      <c r="D160" s="56"/>
      <c r="E160" s="56"/>
      <c r="F160" s="56"/>
      <c r="G160" s="66"/>
    </row>
    <row r="161" spans="1:7" ht="30" x14ac:dyDescent="0.25">
      <c r="A161" s="84" t="s">
        <v>1495</v>
      </c>
      <c r="B161" s="85" t="s">
        <v>85</v>
      </c>
      <c r="C161" s="56"/>
      <c r="D161" s="56"/>
      <c r="E161" s="56"/>
      <c r="F161" s="56"/>
      <c r="G161" s="66"/>
    </row>
    <row r="162" spans="1:7" x14ac:dyDescent="0.25">
      <c r="A162" s="54" t="s">
        <v>1607</v>
      </c>
      <c r="B162" s="85" t="s">
        <v>85</v>
      </c>
      <c r="C162" s="56"/>
      <c r="D162" s="56"/>
      <c r="E162" s="56"/>
      <c r="F162" s="56"/>
      <c r="G162" s="66"/>
    </row>
    <row r="163" spans="1:7" x14ac:dyDescent="0.25">
      <c r="A163" s="54" t="s">
        <v>1608</v>
      </c>
      <c r="B163" s="85" t="s">
        <v>85</v>
      </c>
      <c r="C163" s="56"/>
      <c r="D163" s="56"/>
      <c r="E163" s="56"/>
      <c r="F163" s="56"/>
      <c r="G163" s="66"/>
    </row>
    <row r="164" spans="1:7" ht="15.75" thickBot="1" x14ac:dyDescent="0.3">
      <c r="A164" s="89"/>
      <c r="B164" s="90"/>
      <c r="C164" s="90"/>
      <c r="D164" s="90"/>
      <c r="E164" s="90"/>
      <c r="F164" s="90"/>
      <c r="G164" s="91"/>
    </row>
    <row r="167" spans="1:7" ht="30" x14ac:dyDescent="0.25">
      <c r="A167" s="107" t="s">
        <v>2042</v>
      </c>
      <c r="B167" s="108" t="s">
        <v>2043</v>
      </c>
      <c r="C167" s="108" t="s">
        <v>2044</v>
      </c>
      <c r="D167" s="109" t="s">
        <v>2045</v>
      </c>
    </row>
    <row r="168" spans="1:7" ht="58.5" customHeight="1" x14ac:dyDescent="0.25">
      <c r="A168" s="110" t="str">
        <f>HYPERLINK("[EDEL_Portfolio Monthly 31-Mar-2022.xlsx]EEPRUA!A1","Edelweiss Aggressive Hybrid Fund")</f>
        <v>Edelweiss Aggressive Hybrid Fund</v>
      </c>
      <c r="B168" s="111"/>
      <c r="C168" s="112" t="s">
        <v>2071</v>
      </c>
      <c r="D168" s="111"/>
    </row>
  </sheetData>
  <mergeCells count="2">
    <mergeCell ref="A3:G3"/>
    <mergeCell ref="A4:G4"/>
  </mergeCells>
  <pageMargins left="0.7" right="0.7" top="0.75" bottom="0.75" header="0.3" footer="0.3"/>
  <pageSetup orientation="portrait" horizontalDpi="300" verticalDpi="300"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114"/>
  <sheetViews>
    <sheetView showGridLines="0" topLeftCell="B1" workbookViewId="0">
      <pane ySplit="6" topLeftCell="A1048562"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45.5703125" bestFit="1" customWidth="1"/>
    <col min="4" max="4" width="21.5703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64</v>
      </c>
      <c r="B3" s="139"/>
      <c r="C3" s="139"/>
      <c r="D3" s="139"/>
      <c r="E3" s="139"/>
      <c r="F3" s="139"/>
      <c r="G3" s="140"/>
      <c r="H3" s="46" t="str">
        <f>HYPERLINK("[EDEL_Portfolio HY 31032022.xlsx]Index!A1","Index")</f>
        <v>Index</v>
      </c>
    </row>
    <row r="4" spans="1:8" ht="19.5" customHeight="1" x14ac:dyDescent="0.25">
      <c r="A4" s="141" t="s">
        <v>65</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6" t="s">
        <v>84</v>
      </c>
      <c r="B8" s="31"/>
      <c r="C8" s="31"/>
      <c r="D8" s="14"/>
      <c r="E8" s="15"/>
      <c r="F8" s="16"/>
      <c r="G8" s="75"/>
    </row>
    <row r="9" spans="1:8" x14ac:dyDescent="0.25">
      <c r="A9" s="76" t="s">
        <v>435</v>
      </c>
      <c r="B9" s="31"/>
      <c r="C9" s="31"/>
      <c r="D9" s="14"/>
      <c r="E9" s="15"/>
      <c r="F9" s="16"/>
      <c r="G9" s="75"/>
    </row>
    <row r="10" spans="1:8" x14ac:dyDescent="0.25">
      <c r="A10" s="74" t="s">
        <v>737</v>
      </c>
      <c r="B10" s="31" t="s">
        <v>738</v>
      </c>
      <c r="C10" s="31" t="s">
        <v>2027</v>
      </c>
      <c r="D10" s="14">
        <v>167621</v>
      </c>
      <c r="E10" s="15">
        <v>7987.64</v>
      </c>
      <c r="F10" s="16">
        <v>4.1599999999999998E-2</v>
      </c>
      <c r="G10" s="75"/>
    </row>
    <row r="11" spans="1:8" x14ac:dyDescent="0.25">
      <c r="A11" s="74" t="s">
        <v>669</v>
      </c>
      <c r="B11" s="31" t="s">
        <v>670</v>
      </c>
      <c r="C11" s="31" t="s">
        <v>450</v>
      </c>
      <c r="D11" s="14">
        <v>998625</v>
      </c>
      <c r="E11" s="15">
        <v>7174.62</v>
      </c>
      <c r="F11" s="16">
        <v>3.7400000000000003E-2</v>
      </c>
      <c r="G11" s="75"/>
    </row>
    <row r="12" spans="1:8" x14ac:dyDescent="0.25">
      <c r="A12" s="74" t="s">
        <v>675</v>
      </c>
      <c r="B12" s="31" t="s">
        <v>676</v>
      </c>
      <c r="C12" s="31" t="s">
        <v>677</v>
      </c>
      <c r="D12" s="14">
        <v>555254</v>
      </c>
      <c r="E12" s="15">
        <v>7082.26</v>
      </c>
      <c r="F12" s="16">
        <v>3.6900000000000002E-2</v>
      </c>
      <c r="G12" s="75"/>
    </row>
    <row r="13" spans="1:8" x14ac:dyDescent="0.25">
      <c r="A13" s="74" t="s">
        <v>680</v>
      </c>
      <c r="B13" s="31" t="s">
        <v>681</v>
      </c>
      <c r="C13" s="31" t="s">
        <v>465</v>
      </c>
      <c r="D13" s="14">
        <v>6988568</v>
      </c>
      <c r="E13" s="15">
        <v>6806.87</v>
      </c>
      <c r="F13" s="16">
        <v>3.5499999999999997E-2</v>
      </c>
      <c r="G13" s="75"/>
    </row>
    <row r="14" spans="1:8" x14ac:dyDescent="0.25">
      <c r="A14" s="74" t="s">
        <v>745</v>
      </c>
      <c r="B14" s="31" t="s">
        <v>746</v>
      </c>
      <c r="C14" s="31" t="s">
        <v>615</v>
      </c>
      <c r="D14" s="14">
        <v>1772558</v>
      </c>
      <c r="E14" s="15">
        <v>6629.37</v>
      </c>
      <c r="F14" s="16">
        <v>3.4500000000000003E-2</v>
      </c>
      <c r="G14" s="75"/>
    </row>
    <row r="15" spans="1:8" x14ac:dyDescent="0.25">
      <c r="A15" s="74" t="s">
        <v>457</v>
      </c>
      <c r="B15" s="31" t="s">
        <v>458</v>
      </c>
      <c r="C15" s="31" t="s">
        <v>459</v>
      </c>
      <c r="D15" s="14">
        <v>2712240</v>
      </c>
      <c r="E15" s="15">
        <v>6472.76</v>
      </c>
      <c r="F15" s="16">
        <v>3.3700000000000001E-2</v>
      </c>
      <c r="G15" s="75"/>
    </row>
    <row r="16" spans="1:8" x14ac:dyDescent="0.25">
      <c r="A16" s="74" t="s">
        <v>769</v>
      </c>
      <c r="B16" s="31" t="s">
        <v>770</v>
      </c>
      <c r="C16" s="31" t="s">
        <v>2033</v>
      </c>
      <c r="D16" s="14">
        <v>283693</v>
      </c>
      <c r="E16" s="15">
        <v>6121.95</v>
      </c>
      <c r="F16" s="16">
        <v>3.1899999999999998E-2</v>
      </c>
      <c r="G16" s="75"/>
    </row>
    <row r="17" spans="1:7" x14ac:dyDescent="0.25">
      <c r="A17" s="74" t="s">
        <v>527</v>
      </c>
      <c r="B17" s="31" t="s">
        <v>528</v>
      </c>
      <c r="C17" s="31" t="s">
        <v>2030</v>
      </c>
      <c r="D17" s="14">
        <v>227856</v>
      </c>
      <c r="E17" s="15">
        <v>6105.06</v>
      </c>
      <c r="F17" s="16">
        <v>3.1800000000000002E-2</v>
      </c>
      <c r="G17" s="75"/>
    </row>
    <row r="18" spans="1:7" x14ac:dyDescent="0.25">
      <c r="A18" s="74" t="s">
        <v>1113</v>
      </c>
      <c r="B18" s="31" t="s">
        <v>1114</v>
      </c>
      <c r="C18" s="31" t="s">
        <v>558</v>
      </c>
      <c r="D18" s="14">
        <v>537980</v>
      </c>
      <c r="E18" s="15">
        <v>6032.37</v>
      </c>
      <c r="F18" s="16">
        <v>3.1399999999999997E-2</v>
      </c>
      <c r="G18" s="75"/>
    </row>
    <row r="19" spans="1:7" x14ac:dyDescent="0.25">
      <c r="A19" s="74" t="s">
        <v>801</v>
      </c>
      <c r="B19" s="31" t="s">
        <v>802</v>
      </c>
      <c r="C19" s="31" t="s">
        <v>2030</v>
      </c>
      <c r="D19" s="14">
        <v>142005</v>
      </c>
      <c r="E19" s="15">
        <v>5796.93</v>
      </c>
      <c r="F19" s="16">
        <v>3.0200000000000001E-2</v>
      </c>
      <c r="G19" s="75"/>
    </row>
    <row r="20" spans="1:7" x14ac:dyDescent="0.25">
      <c r="A20" s="74" t="s">
        <v>556</v>
      </c>
      <c r="B20" s="31" t="s">
        <v>557</v>
      </c>
      <c r="C20" s="31" t="s">
        <v>558</v>
      </c>
      <c r="D20" s="14">
        <v>781694</v>
      </c>
      <c r="E20" s="15">
        <v>5476.55</v>
      </c>
      <c r="F20" s="16">
        <v>2.8500000000000001E-2</v>
      </c>
      <c r="G20" s="75"/>
    </row>
    <row r="21" spans="1:7" x14ac:dyDescent="0.25">
      <c r="A21" s="74" t="s">
        <v>1111</v>
      </c>
      <c r="B21" s="31" t="s">
        <v>1112</v>
      </c>
      <c r="C21" s="31" t="s">
        <v>573</v>
      </c>
      <c r="D21" s="14">
        <v>1502551</v>
      </c>
      <c r="E21" s="15">
        <v>5223.62</v>
      </c>
      <c r="F21" s="16">
        <v>2.7199999999999998E-2</v>
      </c>
      <c r="G21" s="75"/>
    </row>
    <row r="22" spans="1:7" x14ac:dyDescent="0.25">
      <c r="A22" s="74" t="s">
        <v>1121</v>
      </c>
      <c r="B22" s="31" t="s">
        <v>1122</v>
      </c>
      <c r="C22" s="31" t="s">
        <v>615</v>
      </c>
      <c r="D22" s="14">
        <v>117860</v>
      </c>
      <c r="E22" s="15">
        <v>5078.3500000000004</v>
      </c>
      <c r="F22" s="16">
        <v>2.64E-2</v>
      </c>
      <c r="G22" s="75"/>
    </row>
    <row r="23" spans="1:7" x14ac:dyDescent="0.25">
      <c r="A23" s="74" t="s">
        <v>696</v>
      </c>
      <c r="B23" s="31" t="s">
        <v>697</v>
      </c>
      <c r="C23" s="31" t="s">
        <v>2032</v>
      </c>
      <c r="D23" s="14">
        <v>3709075</v>
      </c>
      <c r="E23" s="15">
        <v>4348.8900000000003</v>
      </c>
      <c r="F23" s="16">
        <v>2.2700000000000001E-2</v>
      </c>
      <c r="G23" s="75"/>
    </row>
    <row r="24" spans="1:7" x14ac:dyDescent="0.25">
      <c r="A24" s="74" t="s">
        <v>620</v>
      </c>
      <c r="B24" s="31" t="s">
        <v>621</v>
      </c>
      <c r="C24" s="31" t="s">
        <v>1429</v>
      </c>
      <c r="D24" s="14">
        <v>708082</v>
      </c>
      <c r="E24" s="15">
        <v>4178.3900000000003</v>
      </c>
      <c r="F24" s="16">
        <v>2.18E-2</v>
      </c>
      <c r="G24" s="75"/>
    </row>
    <row r="25" spans="1:7" x14ac:dyDescent="0.25">
      <c r="A25" s="74" t="s">
        <v>1034</v>
      </c>
      <c r="B25" s="31" t="s">
        <v>1035</v>
      </c>
      <c r="C25" s="31" t="s">
        <v>494</v>
      </c>
      <c r="D25" s="14">
        <v>808088</v>
      </c>
      <c r="E25" s="15">
        <v>4176.6000000000004</v>
      </c>
      <c r="F25" s="16">
        <v>2.18E-2</v>
      </c>
      <c r="G25" s="75"/>
    </row>
    <row r="26" spans="1:7" x14ac:dyDescent="0.25">
      <c r="A26" s="74" t="s">
        <v>1169</v>
      </c>
      <c r="B26" s="31" t="s">
        <v>1170</v>
      </c>
      <c r="C26" s="31" t="s">
        <v>465</v>
      </c>
      <c r="D26" s="14">
        <v>2691935</v>
      </c>
      <c r="E26" s="15">
        <v>4142.8900000000003</v>
      </c>
      <c r="F26" s="16">
        <v>2.1600000000000001E-2</v>
      </c>
      <c r="G26" s="75"/>
    </row>
    <row r="27" spans="1:7" x14ac:dyDescent="0.25">
      <c r="A27" s="74" t="s">
        <v>541</v>
      </c>
      <c r="B27" s="31" t="s">
        <v>542</v>
      </c>
      <c r="C27" s="31" t="s">
        <v>501</v>
      </c>
      <c r="D27" s="14">
        <v>1750826</v>
      </c>
      <c r="E27" s="15">
        <v>3690.74</v>
      </c>
      <c r="F27" s="16">
        <v>1.9199999999999998E-2</v>
      </c>
      <c r="G27" s="75"/>
    </row>
    <row r="28" spans="1:7" x14ac:dyDescent="0.25">
      <c r="A28" s="74" t="s">
        <v>655</v>
      </c>
      <c r="B28" s="31" t="s">
        <v>656</v>
      </c>
      <c r="C28" s="31" t="s">
        <v>450</v>
      </c>
      <c r="D28" s="14">
        <v>314853</v>
      </c>
      <c r="E28" s="15">
        <v>3573.11</v>
      </c>
      <c r="F28" s="16">
        <v>1.8599999999999998E-2</v>
      </c>
      <c r="G28" s="75"/>
    </row>
    <row r="29" spans="1:7" x14ac:dyDescent="0.25">
      <c r="A29" s="74" t="s">
        <v>1103</v>
      </c>
      <c r="B29" s="31" t="s">
        <v>1104</v>
      </c>
      <c r="C29" s="31" t="s">
        <v>2028</v>
      </c>
      <c r="D29" s="14">
        <v>785181</v>
      </c>
      <c r="E29" s="15">
        <v>3510.94</v>
      </c>
      <c r="F29" s="16">
        <v>1.83E-2</v>
      </c>
      <c r="G29" s="75"/>
    </row>
    <row r="30" spans="1:7" x14ac:dyDescent="0.25">
      <c r="A30" s="74" t="s">
        <v>805</v>
      </c>
      <c r="B30" s="31" t="s">
        <v>806</v>
      </c>
      <c r="C30" s="31" t="s">
        <v>2027</v>
      </c>
      <c r="D30" s="14">
        <v>769598</v>
      </c>
      <c r="E30" s="15">
        <v>3501.29</v>
      </c>
      <c r="F30" s="16">
        <v>1.8200000000000001E-2</v>
      </c>
      <c r="G30" s="75"/>
    </row>
    <row r="31" spans="1:7" x14ac:dyDescent="0.25">
      <c r="A31" s="74" t="s">
        <v>576</v>
      </c>
      <c r="B31" s="31" t="s">
        <v>577</v>
      </c>
      <c r="C31" s="31" t="s">
        <v>456</v>
      </c>
      <c r="D31" s="14">
        <v>630576</v>
      </c>
      <c r="E31" s="15">
        <v>3360.02</v>
      </c>
      <c r="F31" s="16">
        <v>1.7500000000000002E-2</v>
      </c>
      <c r="G31" s="75"/>
    </row>
    <row r="32" spans="1:7" x14ac:dyDescent="0.25">
      <c r="A32" s="74" t="s">
        <v>1052</v>
      </c>
      <c r="B32" s="31" t="s">
        <v>1053</v>
      </c>
      <c r="C32" s="31" t="s">
        <v>2025</v>
      </c>
      <c r="D32" s="14">
        <v>358387</v>
      </c>
      <c r="E32" s="15">
        <v>3341.24</v>
      </c>
      <c r="F32" s="16">
        <v>1.7399999999999999E-2</v>
      </c>
      <c r="G32" s="75"/>
    </row>
    <row r="33" spans="1:7" x14ac:dyDescent="0.25">
      <c r="A33" s="74" t="s">
        <v>781</v>
      </c>
      <c r="B33" s="31" t="s">
        <v>782</v>
      </c>
      <c r="C33" s="31" t="s">
        <v>487</v>
      </c>
      <c r="D33" s="14">
        <v>434874</v>
      </c>
      <c r="E33" s="15">
        <v>3278.52</v>
      </c>
      <c r="F33" s="16">
        <v>1.7100000000000001E-2</v>
      </c>
      <c r="G33" s="75"/>
    </row>
    <row r="34" spans="1:7" x14ac:dyDescent="0.25">
      <c r="A34" s="74" t="s">
        <v>529</v>
      </c>
      <c r="B34" s="31" t="s">
        <v>530</v>
      </c>
      <c r="C34" s="31" t="s">
        <v>2031</v>
      </c>
      <c r="D34" s="14">
        <v>114752</v>
      </c>
      <c r="E34" s="15">
        <v>3235.6</v>
      </c>
      <c r="F34" s="16">
        <v>1.6899999999999998E-2</v>
      </c>
      <c r="G34" s="75"/>
    </row>
    <row r="35" spans="1:7" x14ac:dyDescent="0.25">
      <c r="A35" s="74" t="s">
        <v>631</v>
      </c>
      <c r="B35" s="31" t="s">
        <v>632</v>
      </c>
      <c r="C35" s="31" t="s">
        <v>2027</v>
      </c>
      <c r="D35" s="14">
        <v>92984</v>
      </c>
      <c r="E35" s="15">
        <v>3139.93</v>
      </c>
      <c r="F35" s="16">
        <v>1.6400000000000001E-2</v>
      </c>
      <c r="G35" s="75"/>
    </row>
    <row r="36" spans="1:7" x14ac:dyDescent="0.25">
      <c r="A36" s="74" t="s">
        <v>1115</v>
      </c>
      <c r="B36" s="31" t="s">
        <v>1116</v>
      </c>
      <c r="C36" s="31" t="s">
        <v>615</v>
      </c>
      <c r="D36" s="14">
        <v>427206</v>
      </c>
      <c r="E36" s="15">
        <v>3060.08</v>
      </c>
      <c r="F36" s="16">
        <v>1.5900000000000001E-2</v>
      </c>
      <c r="G36" s="75"/>
    </row>
    <row r="37" spans="1:7" x14ac:dyDescent="0.25">
      <c r="A37" s="74" t="s">
        <v>714</v>
      </c>
      <c r="B37" s="31" t="s">
        <v>715</v>
      </c>
      <c r="C37" s="31" t="s">
        <v>1429</v>
      </c>
      <c r="D37" s="14">
        <v>285874</v>
      </c>
      <c r="E37" s="15">
        <v>3046.7</v>
      </c>
      <c r="F37" s="16">
        <v>1.5900000000000001E-2</v>
      </c>
      <c r="G37" s="75"/>
    </row>
    <row r="38" spans="1:7" x14ac:dyDescent="0.25">
      <c r="A38" s="74" t="s">
        <v>1149</v>
      </c>
      <c r="B38" s="31" t="s">
        <v>1150</v>
      </c>
      <c r="C38" s="31" t="s">
        <v>1429</v>
      </c>
      <c r="D38" s="14">
        <v>184577</v>
      </c>
      <c r="E38" s="15">
        <v>2906.9</v>
      </c>
      <c r="F38" s="16">
        <v>1.5100000000000001E-2</v>
      </c>
      <c r="G38" s="75"/>
    </row>
    <row r="39" spans="1:7" x14ac:dyDescent="0.25">
      <c r="A39" s="74" t="s">
        <v>700</v>
      </c>
      <c r="B39" s="31" t="s">
        <v>701</v>
      </c>
      <c r="C39" s="31" t="s">
        <v>480</v>
      </c>
      <c r="D39" s="14">
        <v>183136</v>
      </c>
      <c r="E39" s="15">
        <v>2738.98</v>
      </c>
      <c r="F39" s="16">
        <v>1.43E-2</v>
      </c>
      <c r="G39" s="75"/>
    </row>
    <row r="40" spans="1:7" x14ac:dyDescent="0.25">
      <c r="A40" s="74" t="s">
        <v>783</v>
      </c>
      <c r="B40" s="31" t="s">
        <v>784</v>
      </c>
      <c r="C40" s="31" t="s">
        <v>626</v>
      </c>
      <c r="D40" s="14">
        <v>534969</v>
      </c>
      <c r="E40" s="15">
        <v>2692.23</v>
      </c>
      <c r="F40" s="16">
        <v>1.4E-2</v>
      </c>
      <c r="G40" s="75"/>
    </row>
    <row r="41" spans="1:7" x14ac:dyDescent="0.25">
      <c r="A41" s="74" t="s">
        <v>771</v>
      </c>
      <c r="B41" s="31" t="s">
        <v>772</v>
      </c>
      <c r="C41" s="31" t="s">
        <v>465</v>
      </c>
      <c r="D41" s="14">
        <v>2007093</v>
      </c>
      <c r="E41" s="15">
        <v>2587.14</v>
      </c>
      <c r="F41" s="16">
        <v>1.35E-2</v>
      </c>
      <c r="G41" s="75"/>
    </row>
    <row r="42" spans="1:7" x14ac:dyDescent="0.25">
      <c r="A42" s="74" t="s">
        <v>1117</v>
      </c>
      <c r="B42" s="31" t="s">
        <v>1118</v>
      </c>
      <c r="C42" s="31" t="s">
        <v>2033</v>
      </c>
      <c r="D42" s="14">
        <v>583082</v>
      </c>
      <c r="E42" s="15">
        <v>2323.29</v>
      </c>
      <c r="F42" s="16">
        <v>1.21E-2</v>
      </c>
      <c r="G42" s="75"/>
    </row>
    <row r="43" spans="1:7" x14ac:dyDescent="0.25">
      <c r="A43" s="74" t="s">
        <v>682</v>
      </c>
      <c r="B43" s="31" t="s">
        <v>683</v>
      </c>
      <c r="C43" s="31" t="s">
        <v>2030</v>
      </c>
      <c r="D43" s="14">
        <v>231505</v>
      </c>
      <c r="E43" s="15">
        <v>2255.67</v>
      </c>
      <c r="F43" s="16">
        <v>1.17E-2</v>
      </c>
      <c r="G43" s="75"/>
    </row>
    <row r="44" spans="1:7" x14ac:dyDescent="0.25">
      <c r="A44" s="74" t="s">
        <v>1159</v>
      </c>
      <c r="B44" s="31" t="s">
        <v>1160</v>
      </c>
      <c r="C44" s="31" t="s">
        <v>558</v>
      </c>
      <c r="D44" s="14">
        <v>288937</v>
      </c>
      <c r="E44" s="15">
        <v>2109.38</v>
      </c>
      <c r="F44" s="16">
        <v>1.0999999999999999E-2</v>
      </c>
      <c r="G44" s="75"/>
    </row>
    <row r="45" spans="1:7" x14ac:dyDescent="0.25">
      <c r="A45" s="74" t="s">
        <v>1141</v>
      </c>
      <c r="B45" s="31" t="s">
        <v>1142</v>
      </c>
      <c r="C45" s="31" t="s">
        <v>480</v>
      </c>
      <c r="D45" s="14">
        <v>443417</v>
      </c>
      <c r="E45" s="15">
        <v>2105.5700000000002</v>
      </c>
      <c r="F45" s="16">
        <v>1.0999999999999999E-2</v>
      </c>
      <c r="G45" s="75"/>
    </row>
    <row r="46" spans="1:7" x14ac:dyDescent="0.25">
      <c r="A46" s="74" t="s">
        <v>661</v>
      </c>
      <c r="B46" s="31" t="s">
        <v>662</v>
      </c>
      <c r="C46" s="31" t="s">
        <v>2025</v>
      </c>
      <c r="D46" s="14">
        <v>94827</v>
      </c>
      <c r="E46" s="15">
        <v>2025.69</v>
      </c>
      <c r="F46" s="16">
        <v>1.06E-2</v>
      </c>
      <c r="G46" s="75"/>
    </row>
    <row r="47" spans="1:7" x14ac:dyDescent="0.25">
      <c r="A47" s="74" t="s">
        <v>643</v>
      </c>
      <c r="B47" s="31" t="s">
        <v>644</v>
      </c>
      <c r="C47" s="31" t="s">
        <v>450</v>
      </c>
      <c r="D47" s="14">
        <v>311981</v>
      </c>
      <c r="E47" s="15">
        <v>1970</v>
      </c>
      <c r="F47" s="16">
        <v>1.03E-2</v>
      </c>
      <c r="G47" s="75"/>
    </row>
    <row r="48" spans="1:7" x14ac:dyDescent="0.25">
      <c r="A48" s="74" t="s">
        <v>718</v>
      </c>
      <c r="B48" s="31" t="s">
        <v>719</v>
      </c>
      <c r="C48" s="31" t="s">
        <v>2034</v>
      </c>
      <c r="D48" s="14">
        <v>459982</v>
      </c>
      <c r="E48" s="15">
        <v>1941.58</v>
      </c>
      <c r="F48" s="16">
        <v>1.01E-2</v>
      </c>
      <c r="G48" s="75"/>
    </row>
    <row r="49" spans="1:7" x14ac:dyDescent="0.25">
      <c r="A49" s="74" t="s">
        <v>1289</v>
      </c>
      <c r="B49" s="31" t="s">
        <v>1290</v>
      </c>
      <c r="C49" s="31" t="s">
        <v>2030</v>
      </c>
      <c r="D49" s="14">
        <v>67595</v>
      </c>
      <c r="E49" s="15">
        <v>1890.29</v>
      </c>
      <c r="F49" s="16">
        <v>9.7999999999999997E-3</v>
      </c>
      <c r="G49" s="75"/>
    </row>
    <row r="50" spans="1:7" x14ac:dyDescent="0.25">
      <c r="A50" s="74" t="s">
        <v>1119</v>
      </c>
      <c r="B50" s="31" t="s">
        <v>1120</v>
      </c>
      <c r="C50" s="31" t="s">
        <v>2033</v>
      </c>
      <c r="D50" s="14">
        <v>40141</v>
      </c>
      <c r="E50" s="15">
        <v>1828.64</v>
      </c>
      <c r="F50" s="16">
        <v>9.4999999999999998E-3</v>
      </c>
      <c r="G50" s="75"/>
    </row>
    <row r="51" spans="1:7" x14ac:dyDescent="0.25">
      <c r="A51" s="74" t="s">
        <v>773</v>
      </c>
      <c r="B51" s="31" t="s">
        <v>774</v>
      </c>
      <c r="C51" s="31" t="s">
        <v>573</v>
      </c>
      <c r="D51" s="14">
        <v>304589</v>
      </c>
      <c r="E51" s="15">
        <v>1820.22</v>
      </c>
      <c r="F51" s="16">
        <v>9.4999999999999998E-3</v>
      </c>
      <c r="G51" s="75"/>
    </row>
    <row r="52" spans="1:7" x14ac:dyDescent="0.25">
      <c r="A52" s="74" t="s">
        <v>1163</v>
      </c>
      <c r="B52" s="31" t="s">
        <v>1164</v>
      </c>
      <c r="C52" s="31" t="s">
        <v>2024</v>
      </c>
      <c r="D52" s="14">
        <v>105204</v>
      </c>
      <c r="E52" s="15">
        <v>1795.04</v>
      </c>
      <c r="F52" s="16">
        <v>9.2999999999999992E-3</v>
      </c>
      <c r="G52" s="75"/>
    </row>
    <row r="53" spans="1:7" x14ac:dyDescent="0.25">
      <c r="A53" s="74" t="s">
        <v>1025</v>
      </c>
      <c r="B53" s="31" t="s">
        <v>1026</v>
      </c>
      <c r="C53" s="31" t="s">
        <v>450</v>
      </c>
      <c r="D53" s="14">
        <v>1650469</v>
      </c>
      <c r="E53" s="15">
        <v>1757.75</v>
      </c>
      <c r="F53" s="16">
        <v>9.1999999999999998E-3</v>
      </c>
      <c r="G53" s="75"/>
    </row>
    <row r="54" spans="1:7" x14ac:dyDescent="0.25">
      <c r="A54" s="74" t="s">
        <v>1133</v>
      </c>
      <c r="B54" s="31" t="s">
        <v>1134</v>
      </c>
      <c r="C54" s="31" t="s">
        <v>465</v>
      </c>
      <c r="D54" s="14">
        <v>791804</v>
      </c>
      <c r="E54" s="15">
        <v>1671.89</v>
      </c>
      <c r="F54" s="16">
        <v>8.6999999999999994E-3</v>
      </c>
      <c r="G54" s="75"/>
    </row>
    <row r="55" spans="1:7" x14ac:dyDescent="0.25">
      <c r="A55" s="74" t="s">
        <v>1137</v>
      </c>
      <c r="B55" s="31" t="s">
        <v>1138</v>
      </c>
      <c r="C55" s="31" t="s">
        <v>450</v>
      </c>
      <c r="D55" s="14">
        <v>193854</v>
      </c>
      <c r="E55" s="15">
        <v>1647.18</v>
      </c>
      <c r="F55" s="16">
        <v>8.6E-3</v>
      </c>
      <c r="G55" s="75"/>
    </row>
    <row r="56" spans="1:7" x14ac:dyDescent="0.25">
      <c r="A56" s="74" t="s">
        <v>761</v>
      </c>
      <c r="B56" s="31" t="s">
        <v>762</v>
      </c>
      <c r="C56" s="31" t="s">
        <v>2030</v>
      </c>
      <c r="D56" s="14">
        <v>168276</v>
      </c>
      <c r="E56" s="15">
        <v>1609.81</v>
      </c>
      <c r="F56" s="16">
        <v>8.3999999999999995E-3</v>
      </c>
      <c r="G56" s="75"/>
    </row>
    <row r="57" spans="1:7" x14ac:dyDescent="0.25">
      <c r="A57" s="74" t="s">
        <v>1123</v>
      </c>
      <c r="B57" s="31" t="s">
        <v>1124</v>
      </c>
      <c r="C57" s="31" t="s">
        <v>2033</v>
      </c>
      <c r="D57" s="14">
        <v>646929</v>
      </c>
      <c r="E57" s="15">
        <v>1555.86</v>
      </c>
      <c r="F57" s="16">
        <v>8.0999999999999996E-3</v>
      </c>
      <c r="G57" s="75"/>
    </row>
    <row r="58" spans="1:7" x14ac:dyDescent="0.25">
      <c r="A58" s="74" t="s">
        <v>1056</v>
      </c>
      <c r="B58" s="31" t="s">
        <v>1057</v>
      </c>
      <c r="C58" s="31" t="s">
        <v>494</v>
      </c>
      <c r="D58" s="14">
        <v>516408</v>
      </c>
      <c r="E58" s="15">
        <v>1467.37</v>
      </c>
      <c r="F58" s="16">
        <v>7.6E-3</v>
      </c>
      <c r="G58" s="75"/>
    </row>
    <row r="59" spans="1:7" x14ac:dyDescent="0.25">
      <c r="A59" s="74" t="s">
        <v>755</v>
      </c>
      <c r="B59" s="31" t="s">
        <v>756</v>
      </c>
      <c r="C59" s="31" t="s">
        <v>480</v>
      </c>
      <c r="D59" s="14">
        <v>54591</v>
      </c>
      <c r="E59" s="15">
        <v>1327.27</v>
      </c>
      <c r="F59" s="16">
        <v>6.8999999999999999E-3</v>
      </c>
      <c r="G59" s="75"/>
    </row>
    <row r="60" spans="1:7" x14ac:dyDescent="0.25">
      <c r="A60" s="74" t="s">
        <v>1191</v>
      </c>
      <c r="B60" s="31" t="s">
        <v>1192</v>
      </c>
      <c r="C60" s="31" t="s">
        <v>2025</v>
      </c>
      <c r="D60" s="14">
        <v>320594</v>
      </c>
      <c r="E60" s="15">
        <v>1050.5899999999999</v>
      </c>
      <c r="F60" s="16">
        <v>5.4999999999999997E-3</v>
      </c>
      <c r="G60" s="75"/>
    </row>
    <row r="61" spans="1:7" x14ac:dyDescent="0.25">
      <c r="A61" s="74" t="s">
        <v>1062</v>
      </c>
      <c r="B61" s="31" t="s">
        <v>1063</v>
      </c>
      <c r="C61" s="31" t="s">
        <v>2025</v>
      </c>
      <c r="D61" s="14">
        <v>1608352</v>
      </c>
      <c r="E61" s="15">
        <v>1036.58</v>
      </c>
      <c r="F61" s="16">
        <v>5.4000000000000003E-3</v>
      </c>
      <c r="G61" s="75"/>
    </row>
    <row r="62" spans="1:7" x14ac:dyDescent="0.25">
      <c r="A62" s="74" t="s">
        <v>1208</v>
      </c>
      <c r="B62" s="31" t="s">
        <v>1209</v>
      </c>
      <c r="C62" s="31" t="s">
        <v>677</v>
      </c>
      <c r="D62" s="14">
        <v>105983</v>
      </c>
      <c r="E62" s="15">
        <v>1024.8</v>
      </c>
      <c r="F62" s="16">
        <v>5.3E-3</v>
      </c>
      <c r="G62" s="75"/>
    </row>
    <row r="63" spans="1:7" x14ac:dyDescent="0.25">
      <c r="A63" s="74" t="s">
        <v>1127</v>
      </c>
      <c r="B63" s="31" t="s">
        <v>1128</v>
      </c>
      <c r="C63" s="31" t="s">
        <v>2024</v>
      </c>
      <c r="D63" s="14">
        <v>1397220</v>
      </c>
      <c r="E63" s="15">
        <v>931.95</v>
      </c>
      <c r="F63" s="16">
        <v>4.8999999999999998E-3</v>
      </c>
      <c r="G63" s="75"/>
    </row>
    <row r="64" spans="1:7" x14ac:dyDescent="0.25">
      <c r="A64" s="74" t="s">
        <v>1214</v>
      </c>
      <c r="B64" s="31" t="s">
        <v>1215</v>
      </c>
      <c r="C64" s="31" t="s">
        <v>2030</v>
      </c>
      <c r="D64" s="14">
        <v>47118</v>
      </c>
      <c r="E64" s="15">
        <v>920.31</v>
      </c>
      <c r="F64" s="16">
        <v>4.7999999999999996E-3</v>
      </c>
      <c r="G64" s="75"/>
    </row>
    <row r="65" spans="1:7" x14ac:dyDescent="0.25">
      <c r="A65" s="74" t="s">
        <v>1187</v>
      </c>
      <c r="B65" s="31" t="s">
        <v>1188</v>
      </c>
      <c r="C65" s="31" t="s">
        <v>2028</v>
      </c>
      <c r="D65" s="14">
        <v>55016</v>
      </c>
      <c r="E65" s="15">
        <v>825.87</v>
      </c>
      <c r="F65" s="16">
        <v>4.3E-3</v>
      </c>
      <c r="G65" s="75"/>
    </row>
    <row r="66" spans="1:7" x14ac:dyDescent="0.25">
      <c r="A66" s="74" t="s">
        <v>1147</v>
      </c>
      <c r="B66" s="31" t="s">
        <v>1148</v>
      </c>
      <c r="C66" s="31" t="s">
        <v>558</v>
      </c>
      <c r="D66" s="14">
        <v>33920</v>
      </c>
      <c r="E66" s="15">
        <v>550.41999999999996</v>
      </c>
      <c r="F66" s="16">
        <v>2.8999999999999998E-3</v>
      </c>
      <c r="G66" s="75"/>
    </row>
    <row r="67" spans="1:7" x14ac:dyDescent="0.25">
      <c r="A67" s="74" t="s">
        <v>1125</v>
      </c>
      <c r="B67" s="31" t="s">
        <v>1126</v>
      </c>
      <c r="C67" s="31" t="s">
        <v>2024</v>
      </c>
      <c r="D67" s="14">
        <v>86401</v>
      </c>
      <c r="E67" s="15">
        <v>435.98</v>
      </c>
      <c r="F67" s="16">
        <v>2.3E-3</v>
      </c>
      <c r="G67" s="75"/>
    </row>
    <row r="68" spans="1:7" x14ac:dyDescent="0.25">
      <c r="A68" s="74" t="s">
        <v>1218</v>
      </c>
      <c r="B68" s="31" t="s">
        <v>1219</v>
      </c>
      <c r="C68" s="31" t="s">
        <v>558</v>
      </c>
      <c r="D68" s="14">
        <v>36372</v>
      </c>
      <c r="E68" s="15">
        <v>190.95</v>
      </c>
      <c r="F68" s="16">
        <v>1E-3</v>
      </c>
      <c r="G68" s="75"/>
    </row>
    <row r="69" spans="1:7" x14ac:dyDescent="0.25">
      <c r="A69" s="76" t="s">
        <v>90</v>
      </c>
      <c r="B69" s="32"/>
      <c r="C69" s="32"/>
      <c r="D69" s="18"/>
      <c r="E69" s="35">
        <v>186568.49</v>
      </c>
      <c r="F69" s="36">
        <v>0.97199999999999998</v>
      </c>
      <c r="G69" s="77"/>
    </row>
    <row r="70" spans="1:7" x14ac:dyDescent="0.25">
      <c r="A70" s="76" t="s">
        <v>815</v>
      </c>
      <c r="B70" s="31"/>
      <c r="C70" s="31"/>
      <c r="D70" s="14"/>
      <c r="E70" s="15"/>
      <c r="F70" s="16"/>
      <c r="G70" s="75"/>
    </row>
    <row r="71" spans="1:7" x14ac:dyDescent="0.25">
      <c r="A71" s="76" t="s">
        <v>90</v>
      </c>
      <c r="B71" s="31"/>
      <c r="C71" s="31"/>
      <c r="D71" s="14"/>
      <c r="E71" s="37" t="s">
        <v>85</v>
      </c>
      <c r="F71" s="38" t="s">
        <v>85</v>
      </c>
      <c r="G71" s="75"/>
    </row>
    <row r="72" spans="1:7" x14ac:dyDescent="0.25">
      <c r="A72" s="78" t="s">
        <v>93</v>
      </c>
      <c r="B72" s="79"/>
      <c r="C72" s="79"/>
      <c r="D72" s="80"/>
      <c r="E72" s="28">
        <v>186568.49</v>
      </c>
      <c r="F72" s="29">
        <v>0.97199999999999998</v>
      </c>
      <c r="G72" s="77"/>
    </row>
    <row r="73" spans="1:7" x14ac:dyDescent="0.25">
      <c r="A73" s="74"/>
      <c r="B73" s="31"/>
      <c r="C73" s="31"/>
      <c r="D73" s="14"/>
      <c r="E73" s="15"/>
      <c r="F73" s="16"/>
      <c r="G73" s="75"/>
    </row>
    <row r="74" spans="1:7" x14ac:dyDescent="0.25">
      <c r="A74" s="74"/>
      <c r="B74" s="31"/>
      <c r="C74" s="31"/>
      <c r="D74" s="14"/>
      <c r="E74" s="15"/>
      <c r="F74" s="16"/>
      <c r="G74" s="75"/>
    </row>
    <row r="75" spans="1:7" x14ac:dyDescent="0.25">
      <c r="A75" s="76" t="s">
        <v>110</v>
      </c>
      <c r="B75" s="31"/>
      <c r="C75" s="31"/>
      <c r="D75" s="14"/>
      <c r="E75" s="15"/>
      <c r="F75" s="16"/>
      <c r="G75" s="75"/>
    </row>
    <row r="76" spans="1:7" x14ac:dyDescent="0.25">
      <c r="A76" s="74" t="s">
        <v>111</v>
      </c>
      <c r="B76" s="31"/>
      <c r="C76" s="31"/>
      <c r="D76" s="14"/>
      <c r="E76" s="15">
        <v>5597.8</v>
      </c>
      <c r="F76" s="16">
        <v>2.92E-2</v>
      </c>
      <c r="G76" s="75">
        <v>3.5790000000000002E-2</v>
      </c>
    </row>
    <row r="77" spans="1:7" x14ac:dyDescent="0.25">
      <c r="A77" s="76" t="s">
        <v>90</v>
      </c>
      <c r="B77" s="32"/>
      <c r="C77" s="32"/>
      <c r="D77" s="18"/>
      <c r="E77" s="35">
        <v>5597.8</v>
      </c>
      <c r="F77" s="36">
        <v>2.92E-2</v>
      </c>
      <c r="G77" s="77"/>
    </row>
    <row r="78" spans="1:7" x14ac:dyDescent="0.25">
      <c r="A78" s="74"/>
      <c r="B78" s="31"/>
      <c r="C78" s="31"/>
      <c r="D78" s="14"/>
      <c r="E78" s="15"/>
      <c r="F78" s="16"/>
      <c r="G78" s="75"/>
    </row>
    <row r="79" spans="1:7" x14ac:dyDescent="0.25">
      <c r="A79" s="78" t="s">
        <v>93</v>
      </c>
      <c r="B79" s="79"/>
      <c r="C79" s="79"/>
      <c r="D79" s="80"/>
      <c r="E79" s="35">
        <v>5597.8</v>
      </c>
      <c r="F79" s="36">
        <v>2.92E-2</v>
      </c>
      <c r="G79" s="77"/>
    </row>
    <row r="80" spans="1:7" x14ac:dyDescent="0.25">
      <c r="A80" s="74" t="s">
        <v>112</v>
      </c>
      <c r="B80" s="31"/>
      <c r="C80" s="31"/>
      <c r="D80" s="14"/>
      <c r="E80" s="15">
        <v>0.54889160000000004</v>
      </c>
      <c r="F80" s="53" t="s">
        <v>2022</v>
      </c>
      <c r="G80" s="75"/>
    </row>
    <row r="81" spans="1:7" x14ac:dyDescent="0.25">
      <c r="A81" s="74" t="s">
        <v>113</v>
      </c>
      <c r="B81" s="31"/>
      <c r="C81" s="31"/>
      <c r="D81" s="14"/>
      <c r="E81" s="24">
        <v>-167.66889159999999</v>
      </c>
      <c r="F81" s="25">
        <v>-1.2019999999999999E-3</v>
      </c>
      <c r="G81" s="75">
        <v>3.5790000000000002E-2</v>
      </c>
    </row>
    <row r="82" spans="1:7" x14ac:dyDescent="0.25">
      <c r="A82" s="81" t="s">
        <v>114</v>
      </c>
      <c r="B82" s="34"/>
      <c r="C82" s="34"/>
      <c r="D82" s="27"/>
      <c r="E82" s="28">
        <v>191999.17</v>
      </c>
      <c r="F82" s="29">
        <v>1</v>
      </c>
      <c r="G82" s="82"/>
    </row>
    <row r="83" spans="1:7" x14ac:dyDescent="0.25">
      <c r="A83" s="54"/>
      <c r="B83" s="56"/>
      <c r="C83" s="56"/>
      <c r="D83" s="56"/>
      <c r="E83" s="56"/>
      <c r="F83" s="56"/>
      <c r="G83" s="66"/>
    </row>
    <row r="84" spans="1:7" x14ac:dyDescent="0.25">
      <c r="A84" s="83" t="s">
        <v>2023</v>
      </c>
      <c r="B84" s="56"/>
      <c r="C84" s="56"/>
      <c r="D84" s="56"/>
      <c r="E84" s="56"/>
      <c r="F84" s="56"/>
      <c r="G84" s="66"/>
    </row>
    <row r="85" spans="1:7" x14ac:dyDescent="0.25">
      <c r="A85" s="54"/>
      <c r="B85" s="56"/>
      <c r="C85" s="56"/>
      <c r="D85" s="56"/>
      <c r="E85" s="56"/>
      <c r="F85" s="56"/>
      <c r="G85" s="66"/>
    </row>
    <row r="86" spans="1:7" x14ac:dyDescent="0.25">
      <c r="A86" s="83" t="s">
        <v>1476</v>
      </c>
      <c r="B86" s="56"/>
      <c r="C86" s="56"/>
      <c r="D86" s="56"/>
      <c r="E86" s="56"/>
      <c r="F86" s="56"/>
      <c r="G86" s="66"/>
    </row>
    <row r="87" spans="1:7" x14ac:dyDescent="0.25">
      <c r="A87" s="84" t="s">
        <v>1477</v>
      </c>
      <c r="B87" s="85" t="s">
        <v>85</v>
      </c>
      <c r="C87" s="56"/>
      <c r="D87" s="56"/>
      <c r="E87" s="56"/>
      <c r="F87" s="56"/>
      <c r="G87" s="66"/>
    </row>
    <row r="88" spans="1:7" x14ac:dyDescent="0.25">
      <c r="A88" s="54" t="s">
        <v>1626</v>
      </c>
      <c r="B88" s="56"/>
      <c r="C88" s="56"/>
      <c r="D88" s="56"/>
      <c r="E88" s="56"/>
      <c r="F88" s="56"/>
      <c r="G88" s="66"/>
    </row>
    <row r="89" spans="1:7" x14ac:dyDescent="0.25">
      <c r="A89" s="54" t="s">
        <v>1478</v>
      </c>
      <c r="B89" s="85" t="s">
        <v>1479</v>
      </c>
      <c r="C89" s="85" t="s">
        <v>1479</v>
      </c>
      <c r="D89" s="56"/>
      <c r="E89" s="56"/>
      <c r="F89" s="56"/>
      <c r="G89" s="66"/>
    </row>
    <row r="90" spans="1:7" x14ac:dyDescent="0.25">
      <c r="A90" s="54"/>
      <c r="B90" s="86">
        <v>44469</v>
      </c>
      <c r="C90" s="86">
        <v>44651</v>
      </c>
      <c r="D90" s="56"/>
      <c r="E90" s="56"/>
      <c r="F90" s="56"/>
      <c r="G90" s="66"/>
    </row>
    <row r="91" spans="1:7" x14ac:dyDescent="0.25">
      <c r="A91" s="54" t="s">
        <v>1483</v>
      </c>
      <c r="B91" s="56">
        <v>55.003999999999998</v>
      </c>
      <c r="C91" s="56">
        <v>55.183</v>
      </c>
      <c r="D91" s="56"/>
      <c r="E91" s="59"/>
      <c r="F91" s="56"/>
      <c r="G91" s="87"/>
    </row>
    <row r="92" spans="1:7" x14ac:dyDescent="0.25">
      <c r="A92" s="54" t="s">
        <v>1484</v>
      </c>
      <c r="B92" s="56">
        <v>42.122</v>
      </c>
      <c r="C92" s="56">
        <v>40.234999999999999</v>
      </c>
      <c r="D92" s="56"/>
      <c r="E92" s="59"/>
      <c r="F92" s="56"/>
      <c r="G92" s="87"/>
    </row>
    <row r="93" spans="1:7" x14ac:dyDescent="0.25">
      <c r="A93" s="54" t="s">
        <v>1503</v>
      </c>
      <c r="B93" s="56">
        <v>49.768999999999998</v>
      </c>
      <c r="C93" s="56">
        <v>49.548999999999999</v>
      </c>
      <c r="D93" s="56"/>
      <c r="E93" s="59"/>
      <c r="F93" s="56"/>
      <c r="G93" s="87"/>
    </row>
    <row r="94" spans="1:7" x14ac:dyDescent="0.25">
      <c r="A94" s="54" t="s">
        <v>1504</v>
      </c>
      <c r="B94" s="56">
        <v>30.725999999999999</v>
      </c>
      <c r="C94" s="56">
        <v>28.567</v>
      </c>
      <c r="D94" s="56"/>
      <c r="E94" s="59"/>
      <c r="F94" s="56"/>
      <c r="G94" s="87"/>
    </row>
    <row r="95" spans="1:7" x14ac:dyDescent="0.25">
      <c r="A95" s="54"/>
      <c r="B95" s="56"/>
      <c r="C95" s="56"/>
      <c r="D95" s="56"/>
      <c r="E95" s="59"/>
      <c r="F95" s="56"/>
      <c r="G95" s="87"/>
    </row>
    <row r="96" spans="1:7" x14ac:dyDescent="0.25">
      <c r="A96" s="54" t="s">
        <v>2007</v>
      </c>
      <c r="B96" s="56"/>
      <c r="C96" s="56"/>
      <c r="D96" s="56"/>
      <c r="E96" s="56"/>
      <c r="F96" s="56"/>
      <c r="G96" s="66"/>
    </row>
    <row r="97" spans="1:7" x14ac:dyDescent="0.25">
      <c r="A97" s="54"/>
      <c r="B97" s="56"/>
      <c r="C97" s="56"/>
      <c r="D97" s="56"/>
      <c r="E97" s="56"/>
      <c r="F97" s="56"/>
      <c r="G97" s="66"/>
    </row>
    <row r="98" spans="1:7" x14ac:dyDescent="0.25">
      <c r="A98" s="93" t="s">
        <v>1507</v>
      </c>
      <c r="B98" s="94" t="s">
        <v>1508</v>
      </c>
      <c r="C98" s="95" t="s">
        <v>2018</v>
      </c>
      <c r="D98" s="95" t="s">
        <v>1509</v>
      </c>
      <c r="E98" s="56"/>
      <c r="F98" s="56"/>
      <c r="G98" s="66"/>
    </row>
    <row r="99" spans="1:7" x14ac:dyDescent="0.25">
      <c r="A99" s="96" t="s">
        <v>1515</v>
      </c>
      <c r="B99" s="97"/>
      <c r="C99" s="97">
        <v>2</v>
      </c>
      <c r="D99" s="97">
        <v>2</v>
      </c>
      <c r="E99" s="56"/>
      <c r="F99" s="56"/>
      <c r="G99" s="66"/>
    </row>
    <row r="100" spans="1:7" x14ac:dyDescent="0.25">
      <c r="A100" s="96" t="s">
        <v>1513</v>
      </c>
      <c r="B100" s="97"/>
      <c r="C100" s="97">
        <v>2</v>
      </c>
      <c r="D100" s="97">
        <v>2</v>
      </c>
      <c r="E100" s="56"/>
      <c r="F100" s="56"/>
      <c r="G100" s="66"/>
    </row>
    <row r="101" spans="1:7" x14ac:dyDescent="0.25">
      <c r="A101" s="54"/>
      <c r="B101" s="56"/>
      <c r="C101" s="56"/>
      <c r="D101" s="56"/>
      <c r="E101" s="56"/>
      <c r="F101" s="56"/>
      <c r="G101" s="66"/>
    </row>
    <row r="102" spans="1:7" x14ac:dyDescent="0.25">
      <c r="A102" s="54" t="s">
        <v>2008</v>
      </c>
      <c r="B102" s="85" t="s">
        <v>85</v>
      </c>
      <c r="C102" s="56"/>
      <c r="D102" s="56"/>
      <c r="E102" s="56"/>
      <c r="F102" s="56"/>
      <c r="G102" s="66"/>
    </row>
    <row r="103" spans="1:7" ht="18.75" customHeight="1" x14ac:dyDescent="0.25">
      <c r="A103" s="84" t="s">
        <v>2009</v>
      </c>
      <c r="B103" s="85" t="s">
        <v>85</v>
      </c>
      <c r="C103" s="56"/>
      <c r="D103" s="56"/>
      <c r="E103" s="56"/>
      <c r="F103" s="56"/>
      <c r="G103" s="66"/>
    </row>
    <row r="104" spans="1:7" x14ac:dyDescent="0.25">
      <c r="A104" s="84" t="s">
        <v>2010</v>
      </c>
      <c r="B104" s="85" t="s">
        <v>85</v>
      </c>
      <c r="C104" s="56"/>
      <c r="D104" s="56"/>
      <c r="E104" s="56"/>
      <c r="F104" s="56"/>
      <c r="G104" s="66"/>
    </row>
    <row r="105" spans="1:7" x14ac:dyDescent="0.25">
      <c r="A105" s="54" t="s">
        <v>1529</v>
      </c>
      <c r="B105" s="88">
        <v>0.40107900000000002</v>
      </c>
      <c r="C105" s="56"/>
      <c r="D105" s="56"/>
      <c r="E105" s="56"/>
      <c r="F105" s="56"/>
      <c r="G105" s="66"/>
    </row>
    <row r="106" spans="1:7" ht="30" x14ac:dyDescent="0.25">
      <c r="A106" s="84" t="s">
        <v>2011</v>
      </c>
      <c r="B106" s="85" t="s">
        <v>85</v>
      </c>
      <c r="C106" s="56"/>
      <c r="D106" s="56"/>
      <c r="E106" s="56"/>
      <c r="F106" s="56"/>
      <c r="G106" s="66"/>
    </row>
    <row r="107" spans="1:7" ht="30" x14ac:dyDescent="0.25">
      <c r="A107" s="84" t="s">
        <v>1495</v>
      </c>
      <c r="B107" s="85" t="s">
        <v>85</v>
      </c>
      <c r="C107" s="56"/>
      <c r="D107" s="56"/>
      <c r="E107" s="56"/>
      <c r="F107" s="56"/>
      <c r="G107" s="66"/>
    </row>
    <row r="108" spans="1:7" x14ac:dyDescent="0.25">
      <c r="A108" s="54" t="s">
        <v>1607</v>
      </c>
      <c r="B108" s="85" t="s">
        <v>85</v>
      </c>
      <c r="C108" s="56"/>
      <c r="D108" s="56"/>
      <c r="E108" s="56"/>
      <c r="F108" s="56"/>
      <c r="G108" s="66"/>
    </row>
    <row r="109" spans="1:7" x14ac:dyDescent="0.25">
      <c r="A109" s="54" t="s">
        <v>1608</v>
      </c>
      <c r="B109" s="85" t="s">
        <v>85</v>
      </c>
      <c r="C109" s="56"/>
      <c r="D109" s="56"/>
      <c r="E109" s="56"/>
      <c r="F109" s="56"/>
      <c r="G109" s="66"/>
    </row>
    <row r="110" spans="1:7" ht="15.75" thickBot="1" x14ac:dyDescent="0.3">
      <c r="A110" s="89"/>
      <c r="B110" s="90"/>
      <c r="C110" s="90"/>
      <c r="D110" s="90"/>
      <c r="E110" s="90"/>
      <c r="F110" s="90"/>
      <c r="G110" s="91"/>
    </row>
    <row r="113" spans="1:4" ht="30" x14ac:dyDescent="0.25">
      <c r="A113" s="107" t="s">
        <v>2042</v>
      </c>
      <c r="B113" s="108" t="s">
        <v>2043</v>
      </c>
      <c r="C113" s="108" t="s">
        <v>2044</v>
      </c>
      <c r="D113" s="109" t="s">
        <v>2045</v>
      </c>
    </row>
    <row r="114" spans="1:4" ht="63.75" customHeight="1" x14ac:dyDescent="0.25">
      <c r="A114" s="110" t="str">
        <f>HYPERLINK("[EDEL_Portfolio Monthly 31-Mar-2022.xlsx]EESMCF!A1","Edelweiss Mid Cap Fund")</f>
        <v>Edelweiss Mid Cap Fund</v>
      </c>
      <c r="B114" s="111"/>
      <c r="C114" s="112" t="s">
        <v>2072</v>
      </c>
      <c r="D114" s="111"/>
    </row>
  </sheetData>
  <mergeCells count="2">
    <mergeCell ref="A3:G3"/>
    <mergeCell ref="A4:G4"/>
  </mergeCells>
  <pageMargins left="0.7" right="0.7" top="0.75" bottom="0.75" header="0.3" footer="0.3"/>
  <pageSetup orientation="portrait" horizontalDpi="300" verticalDpi="300"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75"/>
  <sheetViews>
    <sheetView showGridLines="0" workbookViewId="0">
      <pane ySplit="6" topLeftCell="A1048562"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66</v>
      </c>
      <c r="B3" s="139"/>
      <c r="C3" s="139"/>
      <c r="D3" s="139"/>
      <c r="E3" s="139"/>
      <c r="F3" s="139"/>
      <c r="G3" s="140"/>
      <c r="H3" s="46" t="str">
        <f>HYPERLINK("[EDEL_Portfolio HY 31032022.xlsx]Index!A1","Index")</f>
        <v>Index</v>
      </c>
    </row>
    <row r="4" spans="1:8" ht="19.5" customHeight="1" x14ac:dyDescent="0.25">
      <c r="A4" s="141" t="s">
        <v>67</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84</v>
      </c>
      <c r="B9" s="31"/>
      <c r="C9" s="31"/>
      <c r="D9" s="14"/>
      <c r="E9" s="52" t="s">
        <v>85</v>
      </c>
      <c r="F9" s="53" t="s">
        <v>85</v>
      </c>
      <c r="G9" s="75"/>
    </row>
    <row r="10" spans="1:8" x14ac:dyDescent="0.25">
      <c r="A10" s="74"/>
      <c r="B10" s="31"/>
      <c r="C10" s="31"/>
      <c r="D10" s="14"/>
      <c r="E10" s="15"/>
      <c r="F10" s="16"/>
      <c r="G10" s="75"/>
    </row>
    <row r="11" spans="1:8" x14ac:dyDescent="0.25">
      <c r="A11" s="76" t="s">
        <v>86</v>
      </c>
      <c r="B11" s="31"/>
      <c r="C11" s="31"/>
      <c r="D11" s="14"/>
      <c r="E11" s="15"/>
      <c r="F11" s="16"/>
      <c r="G11" s="75"/>
    </row>
    <row r="12" spans="1:8" x14ac:dyDescent="0.25">
      <c r="A12" s="76" t="s">
        <v>87</v>
      </c>
      <c r="B12" s="31"/>
      <c r="C12" s="31"/>
      <c r="D12" s="14"/>
      <c r="E12" s="15"/>
      <c r="F12" s="16"/>
      <c r="G12" s="75"/>
    </row>
    <row r="13" spans="1:8" x14ac:dyDescent="0.25">
      <c r="A13" s="74" t="s">
        <v>1967</v>
      </c>
      <c r="B13" s="31" t="s">
        <v>1387</v>
      </c>
      <c r="C13" s="31" t="s">
        <v>1388</v>
      </c>
      <c r="D13" s="14">
        <v>790000</v>
      </c>
      <c r="E13" s="15">
        <v>1105.2</v>
      </c>
      <c r="F13" s="16">
        <v>0.106</v>
      </c>
      <c r="G13" s="75">
        <v>5.7790000000000001E-2</v>
      </c>
    </row>
    <row r="14" spans="1:8" x14ac:dyDescent="0.25">
      <c r="A14" s="74" t="s">
        <v>1968</v>
      </c>
      <c r="B14" s="31" t="s">
        <v>1389</v>
      </c>
      <c r="C14" s="31" t="s">
        <v>118</v>
      </c>
      <c r="D14" s="14">
        <v>700000</v>
      </c>
      <c r="E14" s="15">
        <v>940.75</v>
      </c>
      <c r="F14" s="16">
        <v>9.0200000000000002E-2</v>
      </c>
      <c r="G14" s="75">
        <v>4.2255000000000001E-2</v>
      </c>
    </row>
    <row r="15" spans="1:8" x14ac:dyDescent="0.25">
      <c r="A15" s="74" t="s">
        <v>1969</v>
      </c>
      <c r="B15" s="31" t="s">
        <v>1390</v>
      </c>
      <c r="C15" s="31" t="s">
        <v>1391</v>
      </c>
      <c r="D15" s="14">
        <v>500000</v>
      </c>
      <c r="E15" s="15">
        <v>923.29</v>
      </c>
      <c r="F15" s="16">
        <v>8.8599999999999998E-2</v>
      </c>
      <c r="G15" s="75">
        <v>4.3798999999999998E-2</v>
      </c>
    </row>
    <row r="16" spans="1:8" x14ac:dyDescent="0.25">
      <c r="A16" s="74" t="s">
        <v>1970</v>
      </c>
      <c r="B16" s="31" t="s">
        <v>1392</v>
      </c>
      <c r="C16" s="31" t="s">
        <v>1388</v>
      </c>
      <c r="D16" s="14">
        <v>840000</v>
      </c>
      <c r="E16" s="15">
        <v>841.17</v>
      </c>
      <c r="F16" s="16">
        <v>8.0699999999999994E-2</v>
      </c>
      <c r="G16" s="75">
        <v>4.1606999999999998E-2</v>
      </c>
    </row>
    <row r="17" spans="1:7" x14ac:dyDescent="0.25">
      <c r="A17" s="74" t="s">
        <v>1971</v>
      </c>
      <c r="B17" s="31" t="s">
        <v>1393</v>
      </c>
      <c r="C17" s="31" t="s">
        <v>1394</v>
      </c>
      <c r="D17" s="14">
        <v>800000</v>
      </c>
      <c r="E17" s="15">
        <v>801.96</v>
      </c>
      <c r="F17" s="16">
        <v>7.6899999999999996E-2</v>
      </c>
      <c r="G17" s="75">
        <v>4.6949999999999999E-2</v>
      </c>
    </row>
    <row r="18" spans="1:7" x14ac:dyDescent="0.25">
      <c r="A18" s="74" t="s">
        <v>1972</v>
      </c>
      <c r="B18" s="31" t="s">
        <v>1395</v>
      </c>
      <c r="C18" s="31" t="s">
        <v>121</v>
      </c>
      <c r="D18" s="14">
        <v>800000</v>
      </c>
      <c r="E18" s="15">
        <v>800.2</v>
      </c>
      <c r="F18" s="16">
        <v>7.6799999999999993E-2</v>
      </c>
      <c r="G18" s="75">
        <v>4.7386999999999999E-2</v>
      </c>
    </row>
    <row r="19" spans="1:7" x14ac:dyDescent="0.25">
      <c r="A19" s="74" t="s">
        <v>1973</v>
      </c>
      <c r="B19" s="31" t="s">
        <v>1396</v>
      </c>
      <c r="C19" s="31" t="s">
        <v>1394</v>
      </c>
      <c r="D19" s="14">
        <v>500000</v>
      </c>
      <c r="E19" s="15">
        <v>501.62</v>
      </c>
      <c r="F19" s="16">
        <v>4.8099999999999997E-2</v>
      </c>
      <c r="G19" s="75">
        <v>4.2403000000000003E-2</v>
      </c>
    </row>
    <row r="20" spans="1:7" x14ac:dyDescent="0.25">
      <c r="A20" s="74" t="s">
        <v>1974</v>
      </c>
      <c r="B20" s="31" t="s">
        <v>1397</v>
      </c>
      <c r="C20" s="31" t="s">
        <v>118</v>
      </c>
      <c r="D20" s="14">
        <v>50000</v>
      </c>
      <c r="E20" s="15">
        <v>50.13</v>
      </c>
      <c r="F20" s="16">
        <v>4.7999999999999996E-3</v>
      </c>
      <c r="G20" s="75">
        <v>3.7400000000000003E-2</v>
      </c>
    </row>
    <row r="21" spans="1:7" x14ac:dyDescent="0.25">
      <c r="A21" s="74" t="s">
        <v>1975</v>
      </c>
      <c r="B21" s="31" t="s">
        <v>1398</v>
      </c>
      <c r="C21" s="31" t="s">
        <v>118</v>
      </c>
      <c r="D21" s="14">
        <v>50000</v>
      </c>
      <c r="E21" s="15">
        <v>50.06</v>
      </c>
      <c r="F21" s="16">
        <v>4.7999999999999996E-3</v>
      </c>
      <c r="G21" s="75">
        <v>3.7657999999999997E-2</v>
      </c>
    </row>
    <row r="22" spans="1:7" x14ac:dyDescent="0.25">
      <c r="A22" s="76" t="s">
        <v>90</v>
      </c>
      <c r="B22" s="32"/>
      <c r="C22" s="32"/>
      <c r="D22" s="18"/>
      <c r="E22" s="35">
        <v>6014.38</v>
      </c>
      <c r="F22" s="36">
        <v>0.57689999999999997</v>
      </c>
      <c r="G22" s="77"/>
    </row>
    <row r="23" spans="1:7" x14ac:dyDescent="0.25">
      <c r="A23" s="74"/>
      <c r="B23" s="31"/>
      <c r="C23" s="31"/>
      <c r="D23" s="14"/>
      <c r="E23" s="15"/>
      <c r="F23" s="16"/>
      <c r="G23" s="75"/>
    </row>
    <row r="24" spans="1:7" x14ac:dyDescent="0.25">
      <c r="A24" s="76" t="s">
        <v>91</v>
      </c>
      <c r="B24" s="32"/>
      <c r="C24" s="32"/>
      <c r="D24" s="18"/>
      <c r="E24" s="42"/>
      <c r="F24" s="21"/>
      <c r="G24" s="77"/>
    </row>
    <row r="25" spans="1:7" x14ac:dyDescent="0.25">
      <c r="A25" s="74" t="s">
        <v>1976</v>
      </c>
      <c r="B25" s="31" t="s">
        <v>1399</v>
      </c>
      <c r="C25" s="31" t="s">
        <v>121</v>
      </c>
      <c r="D25" s="14">
        <v>400000</v>
      </c>
      <c r="E25" s="15">
        <v>401.25</v>
      </c>
      <c r="F25" s="16">
        <v>3.85E-2</v>
      </c>
      <c r="G25" s="75">
        <v>4.8451000000000001E-2</v>
      </c>
    </row>
    <row r="26" spans="1:7" x14ac:dyDescent="0.25">
      <c r="A26" s="76" t="s">
        <v>90</v>
      </c>
      <c r="B26" s="32"/>
      <c r="C26" s="32"/>
      <c r="D26" s="18"/>
      <c r="E26" s="35">
        <v>401.25</v>
      </c>
      <c r="F26" s="36">
        <v>3.85E-2</v>
      </c>
      <c r="G26" s="77"/>
    </row>
    <row r="27" spans="1:7" x14ac:dyDescent="0.25">
      <c r="A27" s="76" t="s">
        <v>92</v>
      </c>
      <c r="B27" s="31"/>
      <c r="C27" s="31"/>
      <c r="D27" s="14"/>
      <c r="E27" s="15"/>
      <c r="F27" s="16"/>
      <c r="G27" s="75"/>
    </row>
    <row r="28" spans="1:7" x14ac:dyDescent="0.25">
      <c r="A28" s="76" t="s">
        <v>90</v>
      </c>
      <c r="B28" s="31"/>
      <c r="C28" s="31"/>
      <c r="D28" s="14"/>
      <c r="E28" s="37" t="s">
        <v>85</v>
      </c>
      <c r="F28" s="38" t="s">
        <v>85</v>
      </c>
      <c r="G28" s="75"/>
    </row>
    <row r="29" spans="1:7" x14ac:dyDescent="0.25">
      <c r="A29" s="74"/>
      <c r="B29" s="31"/>
      <c r="C29" s="31"/>
      <c r="D29" s="14"/>
      <c r="E29" s="15"/>
      <c r="F29" s="16"/>
      <c r="G29" s="75"/>
    </row>
    <row r="30" spans="1:7" x14ac:dyDescent="0.25">
      <c r="A30" s="78" t="s">
        <v>93</v>
      </c>
      <c r="B30" s="79"/>
      <c r="C30" s="79"/>
      <c r="D30" s="80"/>
      <c r="E30" s="35">
        <v>6415.63</v>
      </c>
      <c r="F30" s="36">
        <v>0.61539999999999995</v>
      </c>
      <c r="G30" s="77"/>
    </row>
    <row r="31" spans="1:7" x14ac:dyDescent="0.25">
      <c r="A31" s="74"/>
      <c r="B31" s="31"/>
      <c r="C31" s="31"/>
      <c r="D31" s="14"/>
      <c r="E31" s="15"/>
      <c r="F31" s="16"/>
      <c r="G31" s="75"/>
    </row>
    <row r="32" spans="1:7" x14ac:dyDescent="0.25">
      <c r="A32" s="76" t="s">
        <v>94</v>
      </c>
      <c r="B32" s="31"/>
      <c r="C32" s="31"/>
      <c r="D32" s="14"/>
      <c r="E32" s="15"/>
      <c r="F32" s="16"/>
      <c r="G32" s="75"/>
    </row>
    <row r="33" spans="1:7" x14ac:dyDescent="0.25">
      <c r="A33" s="74"/>
      <c r="B33" s="31"/>
      <c r="C33" s="31"/>
      <c r="D33" s="14"/>
      <c r="E33" s="15"/>
      <c r="F33" s="16"/>
      <c r="G33" s="75"/>
    </row>
    <row r="34" spans="1:7" x14ac:dyDescent="0.25">
      <c r="A34" s="76" t="s">
        <v>330</v>
      </c>
      <c r="B34" s="31"/>
      <c r="C34" s="31"/>
      <c r="D34" s="14"/>
      <c r="E34" s="15"/>
      <c r="F34" s="16"/>
      <c r="G34" s="75"/>
    </row>
    <row r="35" spans="1:7" x14ac:dyDescent="0.25">
      <c r="A35" s="74" t="s">
        <v>1963</v>
      </c>
      <c r="B35" s="31" t="s">
        <v>1108</v>
      </c>
      <c r="C35" s="31" t="s">
        <v>197</v>
      </c>
      <c r="D35" s="14">
        <v>3500000</v>
      </c>
      <c r="E35" s="15">
        <v>3493.78</v>
      </c>
      <c r="F35" s="16">
        <v>0.3352</v>
      </c>
      <c r="G35" s="75">
        <v>3.2496999999999998E-2</v>
      </c>
    </row>
    <row r="36" spans="1:7" x14ac:dyDescent="0.25">
      <c r="A36" s="76" t="s">
        <v>90</v>
      </c>
      <c r="B36" s="32"/>
      <c r="C36" s="32"/>
      <c r="D36" s="18"/>
      <c r="E36" s="35">
        <v>3493.78</v>
      </c>
      <c r="F36" s="36">
        <v>0.3352</v>
      </c>
      <c r="G36" s="77"/>
    </row>
    <row r="37" spans="1:7" x14ac:dyDescent="0.25">
      <c r="A37" s="74"/>
      <c r="B37" s="31"/>
      <c r="C37" s="31"/>
      <c r="D37" s="14"/>
      <c r="E37" s="15"/>
      <c r="F37" s="16"/>
      <c r="G37" s="75"/>
    </row>
    <row r="38" spans="1:7" x14ac:dyDescent="0.25">
      <c r="A38" s="78" t="s">
        <v>93</v>
      </c>
      <c r="B38" s="79"/>
      <c r="C38" s="79"/>
      <c r="D38" s="80"/>
      <c r="E38" s="35">
        <v>3493.78</v>
      </c>
      <c r="F38" s="36">
        <v>0.3352</v>
      </c>
      <c r="G38" s="77"/>
    </row>
    <row r="39" spans="1:7" x14ac:dyDescent="0.25">
      <c r="A39" s="74"/>
      <c r="B39" s="31"/>
      <c r="C39" s="31"/>
      <c r="D39" s="14"/>
      <c r="E39" s="15"/>
      <c r="F39" s="16"/>
      <c r="G39" s="75"/>
    </row>
    <row r="40" spans="1:7" x14ac:dyDescent="0.25">
      <c r="A40" s="74"/>
      <c r="B40" s="31"/>
      <c r="C40" s="31"/>
      <c r="D40" s="14"/>
      <c r="E40" s="15"/>
      <c r="F40" s="16"/>
      <c r="G40" s="75"/>
    </row>
    <row r="41" spans="1:7" x14ac:dyDescent="0.25">
      <c r="A41" s="76" t="s">
        <v>110</v>
      </c>
      <c r="B41" s="31"/>
      <c r="C41" s="31"/>
      <c r="D41" s="14"/>
      <c r="E41" s="15"/>
      <c r="F41" s="16"/>
      <c r="G41" s="75"/>
    </row>
    <row r="42" spans="1:7" x14ac:dyDescent="0.25">
      <c r="A42" s="74" t="s">
        <v>111</v>
      </c>
      <c r="B42" s="31"/>
      <c r="C42" s="31"/>
      <c r="D42" s="14"/>
      <c r="E42" s="15">
        <v>381.85</v>
      </c>
      <c r="F42" s="16">
        <v>3.6600000000000001E-2</v>
      </c>
      <c r="G42" s="75">
        <v>3.5790000000000002E-2</v>
      </c>
    </row>
    <row r="43" spans="1:7" x14ac:dyDescent="0.25">
      <c r="A43" s="76" t="s">
        <v>90</v>
      </c>
      <c r="B43" s="32"/>
      <c r="C43" s="32"/>
      <c r="D43" s="18"/>
      <c r="E43" s="35">
        <v>381.85</v>
      </c>
      <c r="F43" s="36">
        <v>3.6600000000000001E-2</v>
      </c>
      <c r="G43" s="77"/>
    </row>
    <row r="44" spans="1:7" x14ac:dyDescent="0.25">
      <c r="A44" s="74"/>
      <c r="B44" s="31"/>
      <c r="C44" s="31"/>
      <c r="D44" s="14"/>
      <c r="E44" s="15"/>
      <c r="F44" s="16"/>
      <c r="G44" s="75"/>
    </row>
    <row r="45" spans="1:7" x14ac:dyDescent="0.25">
      <c r="A45" s="78" t="s">
        <v>93</v>
      </c>
      <c r="B45" s="79"/>
      <c r="C45" s="79"/>
      <c r="D45" s="80"/>
      <c r="E45" s="35">
        <v>381.85</v>
      </c>
      <c r="F45" s="36">
        <v>3.6600000000000001E-2</v>
      </c>
      <c r="G45" s="77"/>
    </row>
    <row r="46" spans="1:7" x14ac:dyDescent="0.25">
      <c r="A46" s="74" t="s">
        <v>112</v>
      </c>
      <c r="B46" s="31"/>
      <c r="C46" s="31"/>
      <c r="D46" s="14"/>
      <c r="E46" s="15">
        <v>158.67303129999999</v>
      </c>
      <c r="F46" s="16">
        <v>1.5221E-2</v>
      </c>
      <c r="G46" s="75"/>
    </row>
    <row r="47" spans="1:7" x14ac:dyDescent="0.25">
      <c r="A47" s="74" t="s">
        <v>113</v>
      </c>
      <c r="B47" s="31"/>
      <c r="C47" s="31"/>
      <c r="D47" s="14"/>
      <c r="E47" s="24">
        <v>-25.883031299999999</v>
      </c>
      <c r="F47" s="25">
        <v>-2.421E-3</v>
      </c>
      <c r="G47" s="75">
        <v>3.5790000000000002E-2</v>
      </c>
    </row>
    <row r="48" spans="1:7" x14ac:dyDescent="0.25">
      <c r="A48" s="81" t="s">
        <v>114</v>
      </c>
      <c r="B48" s="34"/>
      <c r="C48" s="34"/>
      <c r="D48" s="27"/>
      <c r="E48" s="28">
        <v>10424.049999999999</v>
      </c>
      <c r="F48" s="29">
        <v>1</v>
      </c>
      <c r="G48" s="82"/>
    </row>
    <row r="49" spans="1:7" x14ac:dyDescent="0.25">
      <c r="A49" s="54"/>
      <c r="B49" s="56"/>
      <c r="C49" s="56"/>
      <c r="D49" s="56"/>
      <c r="E49" s="56"/>
      <c r="F49" s="56"/>
      <c r="G49" s="66"/>
    </row>
    <row r="50" spans="1:7" x14ac:dyDescent="0.25">
      <c r="A50" s="83" t="s">
        <v>115</v>
      </c>
      <c r="B50" s="56"/>
      <c r="C50" s="56"/>
      <c r="D50" s="56"/>
      <c r="E50" s="56"/>
      <c r="F50" s="56"/>
      <c r="G50" s="66"/>
    </row>
    <row r="51" spans="1:7" x14ac:dyDescent="0.25">
      <c r="A51" s="83" t="s">
        <v>116</v>
      </c>
      <c r="B51" s="56"/>
      <c r="C51" s="56"/>
      <c r="D51" s="56"/>
      <c r="E51" s="56"/>
      <c r="F51" s="56"/>
      <c r="G51" s="66"/>
    </row>
    <row r="52" spans="1:7" x14ac:dyDescent="0.25">
      <c r="A52" s="54"/>
      <c r="B52" s="56"/>
      <c r="C52" s="56"/>
      <c r="D52" s="56"/>
      <c r="E52" s="56"/>
      <c r="F52" s="56"/>
      <c r="G52" s="66"/>
    </row>
    <row r="53" spans="1:7" x14ac:dyDescent="0.25">
      <c r="A53" s="83" t="s">
        <v>1476</v>
      </c>
      <c r="B53" s="56"/>
      <c r="C53" s="56"/>
      <c r="D53" s="56"/>
      <c r="E53" s="56"/>
      <c r="F53" s="56"/>
      <c r="G53" s="66"/>
    </row>
    <row r="54" spans="1:7" x14ac:dyDescent="0.25">
      <c r="A54" s="84" t="s">
        <v>1477</v>
      </c>
      <c r="B54" s="85" t="s">
        <v>85</v>
      </c>
      <c r="C54" s="56"/>
      <c r="D54" s="56"/>
      <c r="E54" s="56"/>
      <c r="F54" s="56"/>
      <c r="G54" s="66"/>
    </row>
    <row r="55" spans="1:7" x14ac:dyDescent="0.25">
      <c r="A55" s="54" t="s">
        <v>1626</v>
      </c>
      <c r="B55" s="56"/>
      <c r="C55" s="56"/>
      <c r="D55" s="56"/>
      <c r="E55" s="56"/>
      <c r="F55" s="56"/>
      <c r="G55" s="66"/>
    </row>
    <row r="56" spans="1:7" x14ac:dyDescent="0.25">
      <c r="A56" s="54" t="s">
        <v>1478</v>
      </c>
      <c r="B56" s="85" t="s">
        <v>1479</v>
      </c>
      <c r="C56" s="85" t="s">
        <v>1479</v>
      </c>
      <c r="D56" s="56"/>
      <c r="E56" s="56"/>
      <c r="F56" s="56"/>
      <c r="G56" s="66"/>
    </row>
    <row r="57" spans="1:7" x14ac:dyDescent="0.25">
      <c r="A57" s="54"/>
      <c r="B57" s="86">
        <v>44469</v>
      </c>
      <c r="C57" s="86">
        <v>44651</v>
      </c>
      <c r="D57" s="56"/>
      <c r="E57" s="56"/>
      <c r="F57" s="56"/>
      <c r="G57" s="66"/>
    </row>
    <row r="58" spans="1:7" x14ac:dyDescent="0.25">
      <c r="A58" s="54" t="s">
        <v>1483</v>
      </c>
      <c r="B58" s="56">
        <v>12.6379</v>
      </c>
      <c r="C58" s="56">
        <v>12.9314</v>
      </c>
      <c r="D58" s="56"/>
      <c r="E58" s="59"/>
      <c r="F58" s="56"/>
      <c r="G58" s="87"/>
    </row>
    <row r="59" spans="1:7" x14ac:dyDescent="0.25">
      <c r="A59" s="54" t="s">
        <v>1484</v>
      </c>
      <c r="B59" s="56">
        <v>12.6379</v>
      </c>
      <c r="C59" s="56">
        <v>12.9314</v>
      </c>
      <c r="D59" s="56"/>
      <c r="E59" s="59"/>
      <c r="F59" s="56"/>
      <c r="G59" s="87"/>
    </row>
    <row r="60" spans="1:7" x14ac:dyDescent="0.25">
      <c r="A60" s="54" t="s">
        <v>1503</v>
      </c>
      <c r="B60" s="56">
        <v>12.5098</v>
      </c>
      <c r="C60" s="56">
        <v>12.774800000000001</v>
      </c>
      <c r="D60" s="56"/>
      <c r="E60" s="59"/>
      <c r="F60" s="56"/>
      <c r="G60" s="87"/>
    </row>
    <row r="61" spans="1:7" x14ac:dyDescent="0.25">
      <c r="A61" s="54" t="s">
        <v>1504</v>
      </c>
      <c r="B61" s="56">
        <v>12.5098</v>
      </c>
      <c r="C61" s="56">
        <v>12.774800000000001</v>
      </c>
      <c r="D61" s="56"/>
      <c r="E61" s="59"/>
      <c r="F61" s="56"/>
      <c r="G61" s="87"/>
    </row>
    <row r="62" spans="1:7" x14ac:dyDescent="0.25">
      <c r="A62" s="54"/>
      <c r="B62" s="56"/>
      <c r="C62" s="56"/>
      <c r="D62" s="56"/>
      <c r="E62" s="59"/>
      <c r="F62" s="56"/>
      <c r="G62" s="87"/>
    </row>
    <row r="63" spans="1:7" x14ac:dyDescent="0.25">
      <c r="A63" s="54" t="s">
        <v>2006</v>
      </c>
      <c r="B63" s="85" t="s">
        <v>85</v>
      </c>
      <c r="C63" s="56"/>
      <c r="D63" s="56"/>
      <c r="E63" s="56"/>
      <c r="F63" s="56"/>
      <c r="G63" s="66"/>
    </row>
    <row r="64" spans="1:7" x14ac:dyDescent="0.25">
      <c r="A64" s="54" t="s">
        <v>2008</v>
      </c>
      <c r="B64" s="85" t="s">
        <v>85</v>
      </c>
      <c r="C64" s="56"/>
      <c r="D64" s="56"/>
      <c r="E64" s="56"/>
      <c r="F64" s="56"/>
      <c r="G64" s="66"/>
    </row>
    <row r="65" spans="1:7" ht="19.5" customHeight="1" x14ac:dyDescent="0.25">
      <c r="A65" s="84" t="s">
        <v>2009</v>
      </c>
      <c r="B65" s="85" t="s">
        <v>85</v>
      </c>
      <c r="C65" s="56"/>
      <c r="D65" s="56"/>
      <c r="E65" s="56"/>
      <c r="F65" s="56"/>
      <c r="G65" s="66"/>
    </row>
    <row r="66" spans="1:7" x14ac:dyDescent="0.25">
      <c r="A66" s="84" t="s">
        <v>2010</v>
      </c>
      <c r="B66" s="85" t="s">
        <v>85</v>
      </c>
      <c r="C66" s="56"/>
      <c r="D66" s="56"/>
      <c r="E66" s="56"/>
      <c r="F66" s="56"/>
      <c r="G66" s="66"/>
    </row>
    <row r="67" spans="1:7" x14ac:dyDescent="0.25">
      <c r="A67" s="84" t="s">
        <v>1494</v>
      </c>
      <c r="B67" s="85">
        <v>0.04</v>
      </c>
      <c r="C67" s="56"/>
      <c r="D67" s="56"/>
      <c r="E67" s="56"/>
      <c r="F67" s="56"/>
      <c r="G67" s="66"/>
    </row>
    <row r="68" spans="1:7" ht="30" x14ac:dyDescent="0.25">
      <c r="A68" s="84" t="s">
        <v>2011</v>
      </c>
      <c r="B68" s="85" t="s">
        <v>85</v>
      </c>
      <c r="C68" s="56"/>
      <c r="D68" s="56"/>
      <c r="E68" s="56"/>
      <c r="F68" s="56"/>
      <c r="G68" s="66"/>
    </row>
    <row r="69" spans="1:7" ht="30" x14ac:dyDescent="0.25">
      <c r="A69" s="84" t="s">
        <v>1495</v>
      </c>
      <c r="B69" s="85" t="s">
        <v>85</v>
      </c>
      <c r="C69" s="56"/>
      <c r="D69" s="56"/>
      <c r="E69" s="56"/>
      <c r="F69" s="56"/>
      <c r="G69" s="66"/>
    </row>
    <row r="70" spans="1:7" x14ac:dyDescent="0.25">
      <c r="A70" s="54" t="s">
        <v>1607</v>
      </c>
      <c r="B70" s="85" t="s">
        <v>85</v>
      </c>
      <c r="C70" s="56"/>
      <c r="D70" s="56"/>
      <c r="E70" s="56"/>
      <c r="F70" s="56"/>
      <c r="G70" s="66"/>
    </row>
    <row r="71" spans="1:7" x14ac:dyDescent="0.25">
      <c r="A71" s="54" t="s">
        <v>1608</v>
      </c>
      <c r="B71" s="85" t="s">
        <v>85</v>
      </c>
      <c r="C71" s="56"/>
      <c r="D71" s="56"/>
      <c r="E71" s="56"/>
      <c r="F71" s="56"/>
      <c r="G71" s="66"/>
    </row>
    <row r="72" spans="1:7" ht="15.75" thickBot="1" x14ac:dyDescent="0.3">
      <c r="A72" s="89"/>
      <c r="B72" s="90"/>
      <c r="C72" s="90"/>
      <c r="D72" s="90"/>
      <c r="E72" s="90"/>
      <c r="F72" s="90"/>
      <c r="G72" s="91"/>
    </row>
    <row r="74" spans="1:7" ht="30" x14ac:dyDescent="0.25">
      <c r="A74" s="107" t="s">
        <v>2042</v>
      </c>
      <c r="B74" s="108" t="s">
        <v>2043</v>
      </c>
      <c r="C74" s="108" t="s">
        <v>2044</v>
      </c>
      <c r="D74" s="109" t="s">
        <v>2045</v>
      </c>
    </row>
    <row r="75" spans="1:7" ht="58.5" customHeight="1" x14ac:dyDescent="0.25">
      <c r="A75" s="110" t="str">
        <f>HYPERLINK("[EDEL_Portfolio Monthly 31-Mar-2022.xlsx]EFMS55!A1","Edelweiss Fixed Maturity Plan - Series 55")</f>
        <v>Edelweiss Fixed Maturity Plan - Series 55</v>
      </c>
      <c r="B75" s="111"/>
      <c r="C75" s="112" t="s">
        <v>2073</v>
      </c>
      <c r="D75" s="111"/>
    </row>
  </sheetData>
  <mergeCells count="2">
    <mergeCell ref="A3:G3"/>
    <mergeCell ref="A4:G4"/>
  </mergeCells>
  <pageMargins left="0.7" right="0.7" top="0.75" bottom="0.75" header="0.3" footer="0.3"/>
  <pageSetup orientation="portrait" horizontalDpi="300" verticalDpi="300"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124"/>
  <sheetViews>
    <sheetView showGridLines="0" workbookViewId="0">
      <pane ySplit="6" topLeftCell="A1048562"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0" max="11" width="9.140625" style="56"/>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customFormat="1" x14ac:dyDescent="0.25">
      <c r="A1" s="50" t="s">
        <v>1613</v>
      </c>
      <c r="G1" s="2"/>
    </row>
    <row r="2" spans="1:8" customFormat="1" ht="30.75" thickBot="1" x14ac:dyDescent="0.3">
      <c r="A2" s="65" t="s">
        <v>2083</v>
      </c>
      <c r="G2" s="2"/>
    </row>
    <row r="3" spans="1:8" customFormat="1" ht="36.75" customHeight="1" x14ac:dyDescent="0.25">
      <c r="A3" s="138" t="s">
        <v>68</v>
      </c>
      <c r="B3" s="139"/>
      <c r="C3" s="139"/>
      <c r="D3" s="139"/>
      <c r="E3" s="139"/>
      <c r="F3" s="139"/>
      <c r="G3" s="140"/>
      <c r="H3" s="46" t="str">
        <f>HYPERLINK("[EDEL_Portfolio HY 31032022.xlsx]Index!A1","Index")</f>
        <v>Index</v>
      </c>
    </row>
    <row r="4" spans="1:8" customFormat="1" ht="19.5" customHeight="1" x14ac:dyDescent="0.25">
      <c r="A4" s="141" t="s">
        <v>69</v>
      </c>
      <c r="B4" s="142"/>
      <c r="C4" s="142"/>
      <c r="D4" s="142"/>
      <c r="E4" s="142"/>
      <c r="F4" s="142"/>
      <c r="G4" s="143"/>
    </row>
    <row r="5" spans="1:8" customFormat="1" x14ac:dyDescent="0.25">
      <c r="A5" s="54"/>
      <c r="B5" s="56"/>
      <c r="C5" s="56"/>
      <c r="D5" s="56"/>
      <c r="E5" s="56"/>
      <c r="F5" s="56"/>
      <c r="G5" s="66"/>
    </row>
    <row r="6" spans="1:8" customFormat="1" ht="48" customHeight="1" x14ac:dyDescent="0.25">
      <c r="A6" s="67" t="s">
        <v>0</v>
      </c>
      <c r="B6" s="68" t="s">
        <v>1</v>
      </c>
      <c r="C6" s="68" t="s">
        <v>5</v>
      </c>
      <c r="D6" s="69" t="s">
        <v>2</v>
      </c>
      <c r="E6" s="70" t="s">
        <v>4</v>
      </c>
      <c r="F6" s="70" t="s">
        <v>3</v>
      </c>
      <c r="G6" s="71" t="s">
        <v>6</v>
      </c>
    </row>
    <row r="7" spans="1:8" customFormat="1" x14ac:dyDescent="0.25">
      <c r="A7" s="72"/>
      <c r="B7" s="30"/>
      <c r="C7" s="30"/>
      <c r="D7" s="9"/>
      <c r="E7" s="10"/>
      <c r="F7" s="11"/>
      <c r="G7" s="73"/>
    </row>
    <row r="8" spans="1:8" customFormat="1" x14ac:dyDescent="0.25">
      <c r="A8" s="74"/>
      <c r="B8" s="31"/>
      <c r="C8" s="31"/>
      <c r="D8" s="14"/>
      <c r="E8" s="15"/>
      <c r="F8" s="16"/>
      <c r="G8" s="75"/>
    </row>
    <row r="9" spans="1:8" customFormat="1" x14ac:dyDescent="0.25">
      <c r="A9" s="76" t="s">
        <v>84</v>
      </c>
      <c r="B9" s="31"/>
      <c r="C9" s="31"/>
      <c r="D9" s="14"/>
      <c r="E9" s="52" t="s">
        <v>85</v>
      </c>
      <c r="F9" s="53" t="s">
        <v>85</v>
      </c>
      <c r="G9" s="75"/>
    </row>
    <row r="10" spans="1:8" customFormat="1" x14ac:dyDescent="0.25">
      <c r="A10" s="74"/>
      <c r="B10" s="31"/>
      <c r="C10" s="31"/>
      <c r="D10" s="14"/>
      <c r="E10" s="15"/>
      <c r="F10" s="16"/>
      <c r="G10" s="75"/>
    </row>
    <row r="11" spans="1:8" customFormat="1" x14ac:dyDescent="0.25">
      <c r="A11" s="76" t="s">
        <v>94</v>
      </c>
      <c r="B11" s="31"/>
      <c r="C11" s="31"/>
      <c r="D11" s="14"/>
      <c r="E11" s="15"/>
      <c r="F11" s="16"/>
      <c r="G11" s="75"/>
    </row>
    <row r="12" spans="1:8" customFormat="1" x14ac:dyDescent="0.25">
      <c r="A12" s="74"/>
      <c r="B12" s="31"/>
      <c r="C12" s="31"/>
      <c r="D12" s="14"/>
      <c r="E12" s="15"/>
      <c r="F12" s="16"/>
      <c r="G12" s="75"/>
    </row>
    <row r="13" spans="1:8" customFormat="1" x14ac:dyDescent="0.25">
      <c r="A13" s="76" t="s">
        <v>330</v>
      </c>
      <c r="B13" s="31"/>
      <c r="C13" s="31"/>
      <c r="D13" s="14"/>
      <c r="E13" s="15"/>
      <c r="F13" s="16"/>
      <c r="G13" s="75"/>
    </row>
    <row r="14" spans="1:8" customFormat="1" x14ac:dyDescent="0.25">
      <c r="A14" s="74" t="s">
        <v>1944</v>
      </c>
      <c r="B14" s="31" t="s">
        <v>1007</v>
      </c>
      <c r="C14" s="31" t="s">
        <v>197</v>
      </c>
      <c r="D14" s="14">
        <v>10000000</v>
      </c>
      <c r="E14" s="15">
        <v>9967.5</v>
      </c>
      <c r="F14" s="16">
        <v>8.1000000000000003E-2</v>
      </c>
      <c r="G14" s="75">
        <v>3.5002999999999999E-2</v>
      </c>
    </row>
    <row r="15" spans="1:8" customFormat="1" x14ac:dyDescent="0.25">
      <c r="A15" s="74" t="s">
        <v>1977</v>
      </c>
      <c r="B15" s="31" t="s">
        <v>1400</v>
      </c>
      <c r="C15" s="31" t="s">
        <v>197</v>
      </c>
      <c r="D15" s="14">
        <v>10000000</v>
      </c>
      <c r="E15" s="15">
        <v>9929.7900000000009</v>
      </c>
      <c r="F15" s="16">
        <v>8.0699999999999994E-2</v>
      </c>
      <c r="G15" s="75">
        <v>3.7402999999999999E-2</v>
      </c>
    </row>
    <row r="16" spans="1:8" customFormat="1" x14ac:dyDescent="0.25">
      <c r="A16" s="74" t="s">
        <v>1978</v>
      </c>
      <c r="B16" s="31" t="s">
        <v>1401</v>
      </c>
      <c r="C16" s="31" t="s">
        <v>197</v>
      </c>
      <c r="D16" s="14">
        <v>5000000</v>
      </c>
      <c r="E16" s="15">
        <v>4958.29</v>
      </c>
      <c r="F16" s="16">
        <v>4.0300000000000002E-2</v>
      </c>
      <c r="G16" s="75">
        <v>3.6998000000000003E-2</v>
      </c>
    </row>
    <row r="17" spans="1:7" customFormat="1" x14ac:dyDescent="0.25">
      <c r="A17" s="76" t="s">
        <v>90</v>
      </c>
      <c r="B17" s="32"/>
      <c r="C17" s="32"/>
      <c r="D17" s="18"/>
      <c r="E17" s="35">
        <v>24855.58</v>
      </c>
      <c r="F17" s="36">
        <v>0.20200000000000001</v>
      </c>
      <c r="G17" s="77"/>
    </row>
    <row r="18" spans="1:7" customFormat="1" x14ac:dyDescent="0.25">
      <c r="A18" s="76"/>
      <c r="B18" s="32"/>
      <c r="C18" s="32"/>
      <c r="D18" s="18"/>
      <c r="E18" s="42"/>
      <c r="F18" s="21"/>
      <c r="G18" s="77"/>
    </row>
    <row r="19" spans="1:7" customFormat="1" x14ac:dyDescent="0.25">
      <c r="A19" s="76" t="s">
        <v>95</v>
      </c>
      <c r="B19" s="31"/>
      <c r="C19" s="31"/>
      <c r="D19" s="14"/>
      <c r="E19" s="15"/>
      <c r="F19" s="16"/>
      <c r="G19" s="75"/>
    </row>
    <row r="20" spans="1:7" customFormat="1" x14ac:dyDescent="0.25">
      <c r="A20" s="74" t="s">
        <v>1979</v>
      </c>
      <c r="B20" s="31" t="s">
        <v>1402</v>
      </c>
      <c r="C20" s="31" t="s">
        <v>97</v>
      </c>
      <c r="D20" s="14">
        <v>7500000</v>
      </c>
      <c r="E20" s="15">
        <v>7474.93</v>
      </c>
      <c r="F20" s="16">
        <v>6.08E-2</v>
      </c>
      <c r="G20" s="75">
        <v>3.9493E-2</v>
      </c>
    </row>
    <row r="21" spans="1:7" customFormat="1" x14ac:dyDescent="0.25">
      <c r="A21" s="74" t="s">
        <v>1980</v>
      </c>
      <c r="B21" s="31" t="s">
        <v>1403</v>
      </c>
      <c r="C21" s="31" t="s">
        <v>1015</v>
      </c>
      <c r="D21" s="14">
        <v>5000000</v>
      </c>
      <c r="E21" s="15">
        <v>4994.92</v>
      </c>
      <c r="F21" s="16">
        <v>4.0599999999999997E-2</v>
      </c>
      <c r="G21" s="75">
        <v>3.7177000000000002E-2</v>
      </c>
    </row>
    <row r="22" spans="1:7" customFormat="1" x14ac:dyDescent="0.25">
      <c r="A22" s="74" t="s">
        <v>1983</v>
      </c>
      <c r="B22" s="31" t="s">
        <v>1404</v>
      </c>
      <c r="C22" s="31" t="s">
        <v>99</v>
      </c>
      <c r="D22" s="14">
        <v>5000000</v>
      </c>
      <c r="E22" s="15">
        <v>4986.26</v>
      </c>
      <c r="F22" s="16">
        <v>4.0500000000000001E-2</v>
      </c>
      <c r="G22" s="75">
        <v>3.7250999999999999E-2</v>
      </c>
    </row>
    <row r="23" spans="1:7" customFormat="1" x14ac:dyDescent="0.25">
      <c r="A23" s="74" t="s">
        <v>1981</v>
      </c>
      <c r="B23" s="31" t="s">
        <v>1405</v>
      </c>
      <c r="C23" s="31" t="s">
        <v>97</v>
      </c>
      <c r="D23" s="14">
        <v>2500000</v>
      </c>
      <c r="E23" s="15">
        <v>2493.13</v>
      </c>
      <c r="F23" s="16">
        <v>2.0299999999999999E-2</v>
      </c>
      <c r="G23" s="75">
        <v>3.7250999999999999E-2</v>
      </c>
    </row>
    <row r="24" spans="1:7" customFormat="1" x14ac:dyDescent="0.25">
      <c r="A24" s="74" t="s">
        <v>1982</v>
      </c>
      <c r="B24" s="31" t="s">
        <v>1406</v>
      </c>
      <c r="C24" s="31" t="s">
        <v>97</v>
      </c>
      <c r="D24" s="14">
        <v>2500000</v>
      </c>
      <c r="E24" s="15">
        <v>2480.9699999999998</v>
      </c>
      <c r="F24" s="16">
        <v>2.0199999999999999E-2</v>
      </c>
      <c r="G24" s="75">
        <v>4.0001000000000002E-2</v>
      </c>
    </row>
    <row r="25" spans="1:7" customFormat="1" x14ac:dyDescent="0.25">
      <c r="A25" s="76" t="s">
        <v>90</v>
      </c>
      <c r="B25" s="32"/>
      <c r="C25" s="32"/>
      <c r="D25" s="18"/>
      <c r="E25" s="35">
        <v>22430.21</v>
      </c>
      <c r="F25" s="36">
        <v>0.18240000000000001</v>
      </c>
      <c r="G25" s="77"/>
    </row>
    <row r="26" spans="1:7" customFormat="1" x14ac:dyDescent="0.25">
      <c r="A26" s="74"/>
      <c r="B26" s="31"/>
      <c r="C26" s="31"/>
      <c r="D26" s="14"/>
      <c r="E26" s="15"/>
      <c r="F26" s="16"/>
      <c r="G26" s="75"/>
    </row>
    <row r="27" spans="1:7" customFormat="1" x14ac:dyDescent="0.25">
      <c r="A27" s="76" t="s">
        <v>103</v>
      </c>
      <c r="B27" s="31"/>
      <c r="C27" s="31"/>
      <c r="D27" s="14"/>
      <c r="E27" s="15"/>
      <c r="F27" s="16"/>
      <c r="G27" s="75"/>
    </row>
    <row r="28" spans="1:7" customFormat="1" x14ac:dyDescent="0.25">
      <c r="A28" s="74" t="s">
        <v>1984</v>
      </c>
      <c r="B28" s="31" t="s">
        <v>1407</v>
      </c>
      <c r="C28" s="31" t="s">
        <v>97</v>
      </c>
      <c r="D28" s="14">
        <v>7500000</v>
      </c>
      <c r="E28" s="15">
        <v>7497.78</v>
      </c>
      <c r="F28" s="16">
        <v>6.0900000000000003E-2</v>
      </c>
      <c r="G28" s="75">
        <v>3.6024E-2</v>
      </c>
    </row>
    <row r="29" spans="1:7" customFormat="1" x14ac:dyDescent="0.25">
      <c r="A29" s="74" t="s">
        <v>1985</v>
      </c>
      <c r="B29" s="31" t="s">
        <v>1408</v>
      </c>
      <c r="C29" s="31" t="s">
        <v>97</v>
      </c>
      <c r="D29" s="14">
        <v>7500000</v>
      </c>
      <c r="E29" s="15">
        <v>7497.43</v>
      </c>
      <c r="F29" s="16">
        <v>6.0900000000000003E-2</v>
      </c>
      <c r="G29" s="75">
        <v>4.1745999999999998E-2</v>
      </c>
    </row>
    <row r="30" spans="1:7" customFormat="1" x14ac:dyDescent="0.25">
      <c r="A30" s="74" t="s">
        <v>1986</v>
      </c>
      <c r="B30" s="31" t="s">
        <v>1409</v>
      </c>
      <c r="C30" s="31" t="s">
        <v>97</v>
      </c>
      <c r="D30" s="14">
        <v>7500000</v>
      </c>
      <c r="E30" s="15">
        <v>7490.25</v>
      </c>
      <c r="F30" s="16">
        <v>6.0900000000000003E-2</v>
      </c>
      <c r="G30" s="75">
        <v>3.9593000000000003E-2</v>
      </c>
    </row>
    <row r="31" spans="1:7" customFormat="1" x14ac:dyDescent="0.25">
      <c r="A31" s="74" t="s">
        <v>1987</v>
      </c>
      <c r="B31" s="31" t="s">
        <v>1410</v>
      </c>
      <c r="C31" s="31" t="s">
        <v>97</v>
      </c>
      <c r="D31" s="14">
        <v>5000000</v>
      </c>
      <c r="E31" s="15">
        <v>4994.67</v>
      </c>
      <c r="F31" s="16">
        <v>4.0599999999999997E-2</v>
      </c>
      <c r="G31" s="75">
        <v>3.8987000000000001E-2</v>
      </c>
    </row>
    <row r="32" spans="1:7" customFormat="1" x14ac:dyDescent="0.25">
      <c r="A32" s="74" t="s">
        <v>1988</v>
      </c>
      <c r="B32" s="31" t="s">
        <v>1411</v>
      </c>
      <c r="C32" s="31" t="s">
        <v>97</v>
      </c>
      <c r="D32" s="14">
        <v>5000000</v>
      </c>
      <c r="E32" s="15">
        <v>4994.3999999999996</v>
      </c>
      <c r="F32" s="16">
        <v>4.0599999999999997E-2</v>
      </c>
      <c r="G32" s="75">
        <v>3.7255000000000003E-2</v>
      </c>
    </row>
    <row r="33" spans="1:7" customFormat="1" x14ac:dyDescent="0.25">
      <c r="A33" s="74" t="s">
        <v>1989</v>
      </c>
      <c r="B33" s="31" t="s">
        <v>1412</v>
      </c>
      <c r="C33" s="31" t="s">
        <v>97</v>
      </c>
      <c r="D33" s="14">
        <v>5000000</v>
      </c>
      <c r="E33" s="15">
        <v>4993.6000000000004</v>
      </c>
      <c r="F33" s="16">
        <v>4.0599999999999997E-2</v>
      </c>
      <c r="G33" s="75">
        <v>3.9014E-2</v>
      </c>
    </row>
    <row r="34" spans="1:7" customFormat="1" x14ac:dyDescent="0.25">
      <c r="A34" s="74" t="s">
        <v>1990</v>
      </c>
      <c r="B34" s="31" t="s">
        <v>1413</v>
      </c>
      <c r="C34" s="31" t="s">
        <v>97</v>
      </c>
      <c r="D34" s="14">
        <v>5000000</v>
      </c>
      <c r="E34" s="15">
        <v>4993.0200000000004</v>
      </c>
      <c r="F34" s="16">
        <v>4.0599999999999997E-2</v>
      </c>
      <c r="G34" s="75">
        <v>4.2552E-2</v>
      </c>
    </row>
    <row r="35" spans="1:7" customFormat="1" x14ac:dyDescent="0.25">
      <c r="A35" s="74" t="s">
        <v>1991</v>
      </c>
      <c r="B35" s="31" t="s">
        <v>1414</v>
      </c>
      <c r="C35" s="31" t="s">
        <v>97</v>
      </c>
      <c r="D35" s="14">
        <v>5000000</v>
      </c>
      <c r="E35" s="15">
        <v>4985.01</v>
      </c>
      <c r="F35" s="16">
        <v>4.0500000000000001E-2</v>
      </c>
      <c r="G35" s="75">
        <v>3.9198999999999998E-2</v>
      </c>
    </row>
    <row r="36" spans="1:7" customFormat="1" x14ac:dyDescent="0.25">
      <c r="A36" s="74" t="s">
        <v>1992</v>
      </c>
      <c r="B36" s="31" t="s">
        <v>1415</v>
      </c>
      <c r="C36" s="31" t="s">
        <v>97</v>
      </c>
      <c r="D36" s="14">
        <v>5000000</v>
      </c>
      <c r="E36" s="15">
        <v>4984.04</v>
      </c>
      <c r="F36" s="16">
        <v>4.0500000000000001E-2</v>
      </c>
      <c r="G36" s="75">
        <v>4.3303000000000001E-2</v>
      </c>
    </row>
    <row r="37" spans="1:7" customFormat="1" x14ac:dyDescent="0.25">
      <c r="A37" s="74" t="s">
        <v>1993</v>
      </c>
      <c r="B37" s="31" t="s">
        <v>1416</v>
      </c>
      <c r="C37" s="31" t="s">
        <v>97</v>
      </c>
      <c r="D37" s="14">
        <v>3500000</v>
      </c>
      <c r="E37" s="15">
        <v>3497.92</v>
      </c>
      <c r="F37" s="16">
        <v>2.8400000000000002E-2</v>
      </c>
      <c r="G37" s="75">
        <v>3.6156000000000001E-2</v>
      </c>
    </row>
    <row r="38" spans="1:7" customFormat="1" x14ac:dyDescent="0.25">
      <c r="A38" s="74" t="s">
        <v>1994</v>
      </c>
      <c r="B38" s="31" t="s">
        <v>1417</v>
      </c>
      <c r="C38" s="31" t="s">
        <v>1015</v>
      </c>
      <c r="D38" s="14">
        <v>2500000</v>
      </c>
      <c r="E38" s="15">
        <v>2496.7199999999998</v>
      </c>
      <c r="F38" s="16">
        <v>2.0299999999999999E-2</v>
      </c>
      <c r="G38" s="75">
        <v>4.0004999999999999E-2</v>
      </c>
    </row>
    <row r="39" spans="1:7" customFormat="1" x14ac:dyDescent="0.25">
      <c r="A39" s="74" t="s">
        <v>1995</v>
      </c>
      <c r="B39" s="31" t="s">
        <v>1418</v>
      </c>
      <c r="C39" s="31" t="s">
        <v>97</v>
      </c>
      <c r="D39" s="14">
        <v>2500000</v>
      </c>
      <c r="E39" s="15">
        <v>2495.4699999999998</v>
      </c>
      <c r="F39" s="16">
        <v>2.0299999999999999E-2</v>
      </c>
      <c r="G39" s="75">
        <v>3.8996999999999997E-2</v>
      </c>
    </row>
    <row r="40" spans="1:7" customFormat="1" x14ac:dyDescent="0.25">
      <c r="A40" s="74" t="s">
        <v>1996</v>
      </c>
      <c r="B40" s="31" t="s">
        <v>1419</v>
      </c>
      <c r="C40" s="31" t="s">
        <v>97</v>
      </c>
      <c r="D40" s="14">
        <v>2500000</v>
      </c>
      <c r="E40" s="15">
        <v>2494.62</v>
      </c>
      <c r="F40" s="16">
        <v>2.0299999999999999E-2</v>
      </c>
      <c r="G40" s="75">
        <v>3.7502000000000001E-2</v>
      </c>
    </row>
    <row r="41" spans="1:7" customFormat="1" x14ac:dyDescent="0.25">
      <c r="A41" s="74" t="s">
        <v>1997</v>
      </c>
      <c r="B41" s="31" t="s">
        <v>1420</v>
      </c>
      <c r="C41" s="31" t="s">
        <v>97</v>
      </c>
      <c r="D41" s="14">
        <v>2500000</v>
      </c>
      <c r="E41" s="15">
        <v>2486.12</v>
      </c>
      <c r="F41" s="16">
        <v>2.0199999999999999E-2</v>
      </c>
      <c r="G41" s="75">
        <v>3.7747000000000003E-2</v>
      </c>
    </row>
    <row r="42" spans="1:7" customFormat="1" x14ac:dyDescent="0.25">
      <c r="A42" s="74" t="s">
        <v>1998</v>
      </c>
      <c r="B42" s="31" t="s">
        <v>1421</v>
      </c>
      <c r="C42" s="31" t="s">
        <v>97</v>
      </c>
      <c r="D42" s="14">
        <v>2500000</v>
      </c>
      <c r="E42" s="15">
        <v>2477.44</v>
      </c>
      <c r="F42" s="16">
        <v>2.01E-2</v>
      </c>
      <c r="G42" s="75">
        <v>4.0050000000000002E-2</v>
      </c>
    </row>
    <row r="43" spans="1:7" customFormat="1" x14ac:dyDescent="0.25">
      <c r="A43" s="74" t="s">
        <v>1999</v>
      </c>
      <c r="B43" s="31" t="s">
        <v>1422</v>
      </c>
      <c r="C43" s="31" t="s">
        <v>97</v>
      </c>
      <c r="D43" s="14">
        <v>2500000</v>
      </c>
      <c r="E43" s="15">
        <v>2475.0500000000002</v>
      </c>
      <c r="F43" s="16">
        <v>2.01E-2</v>
      </c>
      <c r="G43" s="75">
        <v>4.6002000000000001E-2</v>
      </c>
    </row>
    <row r="44" spans="1:7" customFormat="1" x14ac:dyDescent="0.25">
      <c r="A44" s="76" t="s">
        <v>90</v>
      </c>
      <c r="B44" s="32"/>
      <c r="C44" s="32"/>
      <c r="D44" s="18"/>
      <c r="E44" s="35">
        <v>70853.539999999994</v>
      </c>
      <c r="F44" s="36">
        <v>0.57579999999999998</v>
      </c>
      <c r="G44" s="77"/>
    </row>
    <row r="45" spans="1:7" customFormat="1" x14ac:dyDescent="0.25">
      <c r="A45" s="74"/>
      <c r="B45" s="31"/>
      <c r="C45" s="31"/>
      <c r="D45" s="14"/>
      <c r="E45" s="15"/>
      <c r="F45" s="16"/>
      <c r="G45" s="75"/>
    </row>
    <row r="46" spans="1:7" customFormat="1" x14ac:dyDescent="0.25">
      <c r="A46" s="78" t="s">
        <v>93</v>
      </c>
      <c r="B46" s="79"/>
      <c r="C46" s="79"/>
      <c r="D46" s="80"/>
      <c r="E46" s="35">
        <v>118139.33</v>
      </c>
      <c r="F46" s="36">
        <v>0.96020000000000005</v>
      </c>
      <c r="G46" s="77"/>
    </row>
    <row r="47" spans="1:7" customFormat="1" x14ac:dyDescent="0.25">
      <c r="A47" s="74"/>
      <c r="B47" s="31"/>
      <c r="C47" s="31"/>
      <c r="D47" s="14"/>
      <c r="E47" s="15"/>
      <c r="F47" s="16"/>
      <c r="G47" s="75"/>
    </row>
    <row r="48" spans="1:7" customFormat="1" x14ac:dyDescent="0.25">
      <c r="A48" s="74"/>
      <c r="B48" s="31"/>
      <c r="C48" s="31"/>
      <c r="D48" s="14"/>
      <c r="E48" s="15"/>
      <c r="F48" s="16"/>
      <c r="G48" s="75"/>
    </row>
    <row r="49" spans="1:11" x14ac:dyDescent="0.25">
      <c r="A49" s="76" t="s">
        <v>110</v>
      </c>
      <c r="B49" s="31"/>
      <c r="C49" s="31"/>
      <c r="D49" s="14"/>
      <c r="E49" s="15"/>
      <c r="F49" s="16"/>
      <c r="G49" s="75"/>
      <c r="J49"/>
      <c r="K49"/>
    </row>
    <row r="50" spans="1:11" x14ac:dyDescent="0.25">
      <c r="A50" s="74" t="s">
        <v>111</v>
      </c>
      <c r="B50" s="31"/>
      <c r="C50" s="31"/>
      <c r="D50" s="14"/>
      <c r="E50" s="15">
        <v>4952.0600000000004</v>
      </c>
      <c r="F50" s="16">
        <v>4.02E-2</v>
      </c>
      <c r="G50" s="75">
        <v>3.5790000000000002E-2</v>
      </c>
      <c r="J50"/>
      <c r="K50"/>
    </row>
    <row r="51" spans="1:11" x14ac:dyDescent="0.25">
      <c r="A51" s="76" t="s">
        <v>90</v>
      </c>
      <c r="B51" s="32"/>
      <c r="C51" s="32"/>
      <c r="D51" s="18"/>
      <c r="E51" s="35">
        <v>4952.0600000000004</v>
      </c>
      <c r="F51" s="36">
        <v>4.02E-2</v>
      </c>
      <c r="G51" s="77"/>
      <c r="J51"/>
      <c r="K51"/>
    </row>
    <row r="52" spans="1:11" x14ac:dyDescent="0.25">
      <c r="A52" s="74"/>
      <c r="B52" s="31"/>
      <c r="C52" s="31"/>
      <c r="D52" s="14"/>
      <c r="E52" s="15"/>
      <c r="F52" s="16"/>
      <c r="G52" s="75"/>
      <c r="J52"/>
      <c r="K52"/>
    </row>
    <row r="53" spans="1:11" x14ac:dyDescent="0.25">
      <c r="A53" s="78" t="s">
        <v>93</v>
      </c>
      <c r="B53" s="79"/>
      <c r="C53" s="79"/>
      <c r="D53" s="80"/>
      <c r="E53" s="35">
        <v>4952.0600000000004</v>
      </c>
      <c r="F53" s="36">
        <v>4.02E-2</v>
      </c>
      <c r="G53" s="77"/>
      <c r="J53"/>
      <c r="K53"/>
    </row>
    <row r="54" spans="1:11" x14ac:dyDescent="0.25">
      <c r="A54" s="74" t="s">
        <v>112</v>
      </c>
      <c r="B54" s="31"/>
      <c r="C54" s="31"/>
      <c r="D54" s="14"/>
      <c r="E54" s="15">
        <v>0.48557299999999998</v>
      </c>
      <c r="F54" s="53" t="s">
        <v>2022</v>
      </c>
      <c r="G54" s="75"/>
      <c r="J54"/>
      <c r="K54"/>
    </row>
    <row r="55" spans="1:11" x14ac:dyDescent="0.25">
      <c r="A55" s="74" t="s">
        <v>113</v>
      </c>
      <c r="B55" s="31"/>
      <c r="C55" s="31"/>
      <c r="D55" s="14"/>
      <c r="E55" s="24">
        <v>-51.775573000000001</v>
      </c>
      <c r="F55" s="25">
        <v>-4.0299999999999998E-4</v>
      </c>
      <c r="G55" s="75">
        <v>3.5790000000000002E-2</v>
      </c>
      <c r="J55"/>
      <c r="K55"/>
    </row>
    <row r="56" spans="1:11" x14ac:dyDescent="0.25">
      <c r="A56" s="81" t="s">
        <v>114</v>
      </c>
      <c r="B56" s="34"/>
      <c r="C56" s="34"/>
      <c r="D56" s="27"/>
      <c r="E56" s="28">
        <v>123040.1</v>
      </c>
      <c r="F56" s="29">
        <v>1</v>
      </c>
      <c r="G56" s="82"/>
      <c r="J56"/>
      <c r="K56"/>
    </row>
    <row r="57" spans="1:11" x14ac:dyDescent="0.25">
      <c r="A57" s="54"/>
      <c r="B57" s="56"/>
      <c r="C57" s="56"/>
      <c r="D57" s="56"/>
      <c r="E57" s="56"/>
      <c r="F57" s="56"/>
      <c r="G57" s="66"/>
      <c r="J57"/>
      <c r="K57"/>
    </row>
    <row r="58" spans="1:11" x14ac:dyDescent="0.25">
      <c r="A58" s="83" t="s">
        <v>115</v>
      </c>
      <c r="B58" s="56"/>
      <c r="C58" s="56"/>
      <c r="D58" s="56"/>
      <c r="E58" s="56"/>
      <c r="F58" s="56"/>
      <c r="G58" s="66"/>
      <c r="J58"/>
      <c r="K58"/>
    </row>
    <row r="59" spans="1:11" x14ac:dyDescent="0.25">
      <c r="A59" s="83" t="s">
        <v>116</v>
      </c>
      <c r="B59" s="56"/>
      <c r="C59" s="56"/>
      <c r="D59" s="56"/>
      <c r="E59" s="56"/>
      <c r="F59" s="56"/>
      <c r="G59" s="66"/>
      <c r="J59"/>
      <c r="K59"/>
    </row>
    <row r="60" spans="1:11" x14ac:dyDescent="0.25">
      <c r="A60" s="83" t="s">
        <v>2023</v>
      </c>
      <c r="B60" s="56"/>
      <c r="C60" s="56"/>
      <c r="D60" s="56"/>
      <c r="E60" s="56"/>
      <c r="F60" s="56"/>
      <c r="G60" s="66"/>
      <c r="J60"/>
      <c r="K60"/>
    </row>
    <row r="61" spans="1:11" x14ac:dyDescent="0.25">
      <c r="A61" s="54"/>
      <c r="B61" s="56"/>
      <c r="C61" s="56"/>
      <c r="D61" s="56"/>
      <c r="E61" s="56"/>
      <c r="F61" s="56"/>
      <c r="G61" s="66"/>
      <c r="J61"/>
      <c r="K61"/>
    </row>
    <row r="62" spans="1:11" x14ac:dyDescent="0.25">
      <c r="A62" s="83" t="s">
        <v>1476</v>
      </c>
      <c r="B62" s="56"/>
      <c r="C62" s="56"/>
      <c r="D62" s="56"/>
      <c r="E62" s="56"/>
      <c r="F62" s="56"/>
      <c r="G62" s="66"/>
      <c r="J62"/>
      <c r="K62"/>
    </row>
    <row r="63" spans="1:11" x14ac:dyDescent="0.25">
      <c r="A63" s="84" t="s">
        <v>1477</v>
      </c>
      <c r="B63" s="85" t="s">
        <v>85</v>
      </c>
      <c r="C63" s="56"/>
      <c r="D63" s="56"/>
      <c r="E63" s="56"/>
      <c r="F63" s="56"/>
      <c r="G63" s="66"/>
      <c r="J63"/>
      <c r="K63"/>
    </row>
    <row r="64" spans="1:11" x14ac:dyDescent="0.25">
      <c r="A64" s="54" t="s">
        <v>1626</v>
      </c>
      <c r="B64" s="56"/>
      <c r="C64" s="56"/>
      <c r="D64" s="56"/>
      <c r="E64" s="56"/>
      <c r="F64" s="56"/>
      <c r="G64" s="66"/>
      <c r="J64"/>
      <c r="K64"/>
    </row>
    <row r="65" spans="1:11" x14ac:dyDescent="0.25">
      <c r="A65" s="54" t="s">
        <v>1496</v>
      </c>
      <c r="B65" s="85" t="s">
        <v>1479</v>
      </c>
      <c r="C65" s="85" t="s">
        <v>1479</v>
      </c>
      <c r="D65" s="56"/>
      <c r="E65" s="56"/>
      <c r="F65" s="56"/>
      <c r="G65" s="66"/>
      <c r="J65"/>
      <c r="K65"/>
    </row>
    <row r="66" spans="1:11" x14ac:dyDescent="0.25">
      <c r="A66" s="54"/>
      <c r="B66" s="86">
        <v>44469</v>
      </c>
      <c r="C66" s="86">
        <v>44651</v>
      </c>
      <c r="D66" s="56"/>
      <c r="E66" s="56"/>
      <c r="F66" s="56"/>
      <c r="G66" s="66"/>
      <c r="J66"/>
      <c r="K66"/>
    </row>
    <row r="67" spans="1:11" x14ac:dyDescent="0.25">
      <c r="A67" s="54" t="s">
        <v>1480</v>
      </c>
      <c r="B67" s="101">
        <v>2699.6314000000002</v>
      </c>
      <c r="C67" s="101">
        <v>2747.6161000000002</v>
      </c>
      <c r="D67" s="56"/>
      <c r="E67" s="59"/>
      <c r="F67" s="56"/>
      <c r="G67" s="87"/>
    </row>
    <row r="68" spans="1:11" x14ac:dyDescent="0.25">
      <c r="A68" s="54" t="s">
        <v>1481</v>
      </c>
      <c r="B68" s="101">
        <v>1570.6065000000001</v>
      </c>
      <c r="C68" s="101">
        <v>1598.5234</v>
      </c>
      <c r="D68" s="56"/>
      <c r="E68" s="59"/>
      <c r="F68" s="56"/>
      <c r="G68" s="87"/>
    </row>
    <row r="69" spans="1:11" x14ac:dyDescent="0.25">
      <c r="A69" s="54" t="s">
        <v>1518</v>
      </c>
      <c r="B69" s="101">
        <v>1002.9603</v>
      </c>
      <c r="C69" s="101">
        <v>1002.909</v>
      </c>
      <c r="D69" s="56"/>
      <c r="E69" s="59"/>
      <c r="F69" s="56"/>
      <c r="G69" s="87"/>
    </row>
    <row r="70" spans="1:11" x14ac:dyDescent="0.25">
      <c r="A70" s="54" t="s">
        <v>1499</v>
      </c>
      <c r="B70" s="101">
        <v>2171.0529000000001</v>
      </c>
      <c r="C70" s="101">
        <v>2171.5650000000001</v>
      </c>
      <c r="D70" s="56"/>
      <c r="E70" s="59"/>
      <c r="F70" s="56"/>
      <c r="G70" s="87"/>
    </row>
    <row r="71" spans="1:11" x14ac:dyDescent="0.25">
      <c r="A71" s="54" t="s">
        <v>1483</v>
      </c>
      <c r="B71" s="101">
        <v>2699.6395000000002</v>
      </c>
      <c r="C71" s="101">
        <v>2747.6244000000002</v>
      </c>
      <c r="D71" s="56"/>
      <c r="E71" s="59"/>
      <c r="F71" s="56"/>
      <c r="G71" s="87"/>
    </row>
    <row r="72" spans="1:11" x14ac:dyDescent="0.25">
      <c r="A72" s="54" t="s">
        <v>1484</v>
      </c>
      <c r="B72" s="101">
        <v>2699.6532000000002</v>
      </c>
      <c r="C72" s="101">
        <v>2747.6383000000001</v>
      </c>
      <c r="D72" s="56"/>
      <c r="E72" s="59"/>
      <c r="F72" s="56"/>
      <c r="G72" s="87"/>
    </row>
    <row r="73" spans="1:11" x14ac:dyDescent="0.25">
      <c r="A73" s="54" t="s">
        <v>1500</v>
      </c>
      <c r="B73" s="101">
        <v>1004.6634</v>
      </c>
      <c r="C73" s="101">
        <v>1004.9657999999999</v>
      </c>
      <c r="D73" s="56"/>
      <c r="E73" s="59"/>
      <c r="F73" s="56"/>
      <c r="G73" s="87"/>
    </row>
    <row r="74" spans="1:11" x14ac:dyDescent="0.25">
      <c r="A74" s="54" t="s">
        <v>1501</v>
      </c>
      <c r="B74" s="101">
        <v>2171.8519999999999</v>
      </c>
      <c r="C74" s="101">
        <v>2173.6594</v>
      </c>
      <c r="D74" s="56"/>
      <c r="E74" s="59"/>
      <c r="F74" s="56"/>
      <c r="G74" s="87"/>
    </row>
    <row r="75" spans="1:11" x14ac:dyDescent="0.25">
      <c r="A75" s="54" t="s">
        <v>1542</v>
      </c>
      <c r="B75" s="101">
        <v>1844.3716999999999</v>
      </c>
      <c r="C75" s="101">
        <v>1874.9059999999999</v>
      </c>
      <c r="D75" s="56"/>
      <c r="E75" s="59"/>
      <c r="F75" s="56"/>
      <c r="G75" s="87"/>
    </row>
    <row r="76" spans="1:11" x14ac:dyDescent="0.25">
      <c r="A76" s="54" t="s">
        <v>1492</v>
      </c>
      <c r="B76" s="101">
        <v>1552.7335</v>
      </c>
      <c r="C76" s="101">
        <v>1578.3434</v>
      </c>
      <c r="D76" s="56"/>
      <c r="E76" s="59"/>
      <c r="F76" s="56"/>
      <c r="G76" s="87"/>
    </row>
    <row r="77" spans="1:11" x14ac:dyDescent="0.25">
      <c r="A77" s="54" t="s">
        <v>1543</v>
      </c>
      <c r="B77" s="101">
        <v>1003.3973999999999</v>
      </c>
      <c r="C77" s="101">
        <v>1003.3329</v>
      </c>
      <c r="D77" s="56"/>
      <c r="E77" s="59"/>
      <c r="F77" s="56"/>
      <c r="G77" s="87"/>
    </row>
    <row r="78" spans="1:11" x14ac:dyDescent="0.25">
      <c r="A78" s="54" t="s">
        <v>1510</v>
      </c>
      <c r="B78" s="101">
        <v>2152.9821000000002</v>
      </c>
      <c r="C78" s="101">
        <v>2153.4758000000002</v>
      </c>
      <c r="D78" s="56"/>
      <c r="E78" s="59"/>
      <c r="F78" s="56"/>
      <c r="G78" s="87"/>
    </row>
    <row r="79" spans="1:11" x14ac:dyDescent="0.25">
      <c r="A79" s="54" t="s">
        <v>1544</v>
      </c>
      <c r="B79" s="101">
        <v>2665.5972999999999</v>
      </c>
      <c r="C79" s="101">
        <v>2709.7321000000002</v>
      </c>
      <c r="D79" s="56"/>
      <c r="E79" s="59"/>
      <c r="F79" s="56"/>
      <c r="G79" s="87"/>
    </row>
    <row r="80" spans="1:11" x14ac:dyDescent="0.25">
      <c r="A80" s="54" t="s">
        <v>1515</v>
      </c>
      <c r="B80" s="101">
        <v>2665.6007</v>
      </c>
      <c r="C80" s="101">
        <v>2709.7359999999999</v>
      </c>
      <c r="D80" s="56"/>
      <c r="E80" s="59"/>
      <c r="F80" s="56"/>
      <c r="G80" s="87"/>
    </row>
    <row r="81" spans="1:7" x14ac:dyDescent="0.25">
      <c r="A81" s="54" t="s">
        <v>1517</v>
      </c>
      <c r="B81" s="101">
        <v>1004.3993</v>
      </c>
      <c r="C81" s="101">
        <v>1004.6953</v>
      </c>
      <c r="D81" s="56"/>
      <c r="E81" s="59"/>
      <c r="F81" s="56"/>
      <c r="G81" s="87"/>
    </row>
    <row r="82" spans="1:7" x14ac:dyDescent="0.25">
      <c r="A82" s="54" t="s">
        <v>1516</v>
      </c>
      <c r="B82" s="101">
        <v>1018.1352000000001</v>
      </c>
      <c r="C82" s="101">
        <v>1018.9432</v>
      </c>
      <c r="D82" s="56"/>
      <c r="E82" s="59"/>
      <c r="F82" s="56"/>
      <c r="G82" s="87"/>
    </row>
    <row r="83" spans="1:7" x14ac:dyDescent="0.25">
      <c r="A83" s="54" t="s">
        <v>1545</v>
      </c>
      <c r="B83" s="99" t="s">
        <v>1482</v>
      </c>
      <c r="C83" s="99" t="s">
        <v>1482</v>
      </c>
      <c r="D83" s="56"/>
      <c r="E83" s="59"/>
      <c r="F83" s="56"/>
      <c r="G83" s="87"/>
    </row>
    <row r="84" spans="1:7" x14ac:dyDescent="0.25">
      <c r="A84" s="54" t="s">
        <v>1546</v>
      </c>
      <c r="B84" s="99" t="s">
        <v>1482</v>
      </c>
      <c r="C84" s="99" t="s">
        <v>1482</v>
      </c>
      <c r="D84" s="56"/>
      <c r="E84" s="59"/>
      <c r="F84" s="56"/>
      <c r="G84" s="87"/>
    </row>
    <row r="85" spans="1:7" x14ac:dyDescent="0.25">
      <c r="A85" s="54" t="s">
        <v>1547</v>
      </c>
      <c r="B85" s="99">
        <v>1003.1709</v>
      </c>
      <c r="C85" s="99">
        <v>1003.1064</v>
      </c>
      <c r="D85" s="56"/>
      <c r="E85" s="59"/>
      <c r="F85" s="56"/>
      <c r="G85" s="87"/>
    </row>
    <row r="86" spans="1:7" x14ac:dyDescent="0.25">
      <c r="A86" s="54" t="s">
        <v>1548</v>
      </c>
      <c r="B86" s="99" t="s">
        <v>1482</v>
      </c>
      <c r="C86" s="99" t="s">
        <v>1482</v>
      </c>
      <c r="D86" s="56"/>
      <c r="E86" s="59"/>
      <c r="F86" s="56"/>
      <c r="G86" s="87"/>
    </row>
    <row r="87" spans="1:7" x14ac:dyDescent="0.25">
      <c r="A87" s="54" t="s">
        <v>1549</v>
      </c>
      <c r="B87" s="99">
        <v>2424.1738</v>
      </c>
      <c r="C87" s="99">
        <v>2464.3135000000002</v>
      </c>
      <c r="D87" s="56"/>
      <c r="E87" s="59"/>
      <c r="F87" s="56"/>
      <c r="G87" s="87"/>
    </row>
    <row r="88" spans="1:7" x14ac:dyDescent="0.25">
      <c r="A88" s="54" t="s">
        <v>1550</v>
      </c>
      <c r="B88" s="99" t="s">
        <v>1482</v>
      </c>
      <c r="C88" s="99" t="s">
        <v>1482</v>
      </c>
      <c r="D88" s="56"/>
      <c r="E88" s="59"/>
      <c r="F88" s="56"/>
      <c r="G88" s="87"/>
    </row>
    <row r="89" spans="1:7" x14ac:dyDescent="0.25">
      <c r="A89" s="54" t="s">
        <v>1551</v>
      </c>
      <c r="B89" s="99">
        <v>1243.8368</v>
      </c>
      <c r="C89" s="99">
        <v>1244.2031999999999</v>
      </c>
      <c r="D89" s="56"/>
      <c r="E89" s="59"/>
      <c r="F89" s="56"/>
      <c r="G89" s="87"/>
    </row>
    <row r="90" spans="1:7" x14ac:dyDescent="0.25">
      <c r="A90" s="54" t="s">
        <v>1552</v>
      </c>
      <c r="B90" s="99">
        <v>1230.4992</v>
      </c>
      <c r="C90" s="99">
        <v>1231.4654</v>
      </c>
      <c r="D90" s="56"/>
      <c r="E90" s="59"/>
      <c r="F90" s="56"/>
      <c r="G90" s="87"/>
    </row>
    <row r="91" spans="1:7" x14ac:dyDescent="0.25">
      <c r="A91" s="100" t="s">
        <v>1553</v>
      </c>
      <c r="B91" s="104">
        <v>1290.9538</v>
      </c>
      <c r="C91" s="99" t="s">
        <v>1482</v>
      </c>
      <c r="D91" s="56"/>
      <c r="E91" s="59"/>
      <c r="F91" s="56"/>
      <c r="G91" s="87"/>
    </row>
    <row r="92" spans="1:7" x14ac:dyDescent="0.25">
      <c r="A92" s="100" t="s">
        <v>1554</v>
      </c>
      <c r="B92" s="104">
        <v>1000</v>
      </c>
      <c r="C92" s="99" t="s">
        <v>1482</v>
      </c>
      <c r="D92" s="56"/>
      <c r="E92" s="59"/>
      <c r="F92" s="56"/>
      <c r="G92" s="87"/>
    </row>
    <row r="93" spans="1:7" x14ac:dyDescent="0.25">
      <c r="A93" s="100" t="s">
        <v>1555</v>
      </c>
      <c r="B93" s="104">
        <v>1290.9637</v>
      </c>
      <c r="C93" s="99" t="s">
        <v>1482</v>
      </c>
      <c r="D93" s="56"/>
      <c r="E93" s="59"/>
      <c r="F93" s="56"/>
      <c r="G93" s="87"/>
    </row>
    <row r="94" spans="1:7" x14ac:dyDescent="0.25">
      <c r="A94" s="100" t="s">
        <v>1556</v>
      </c>
      <c r="B94" s="104">
        <v>1000</v>
      </c>
      <c r="C94" s="99" t="s">
        <v>1482</v>
      </c>
      <c r="D94" s="56"/>
      <c r="E94" s="59"/>
      <c r="F94" s="56"/>
      <c r="G94" s="87"/>
    </row>
    <row r="95" spans="1:7" x14ac:dyDescent="0.25">
      <c r="A95" s="54" t="s">
        <v>1493</v>
      </c>
      <c r="B95" s="56"/>
      <c r="C95" s="56"/>
      <c r="D95" s="56"/>
      <c r="E95" s="59"/>
      <c r="F95" s="56"/>
      <c r="G95" s="87"/>
    </row>
    <row r="96" spans="1:7" x14ac:dyDescent="0.25">
      <c r="A96" s="54"/>
      <c r="B96" s="56"/>
      <c r="C96" s="56"/>
      <c r="D96" s="56"/>
      <c r="E96" s="56"/>
      <c r="F96" s="56"/>
      <c r="G96" s="66"/>
    </row>
    <row r="97" spans="1:7" x14ac:dyDescent="0.25">
      <c r="A97" s="54" t="s">
        <v>2007</v>
      </c>
      <c r="B97" s="56"/>
      <c r="C97" s="56"/>
      <c r="D97" s="56"/>
      <c r="E97" s="56"/>
      <c r="F97" s="56"/>
      <c r="G97" s="66"/>
    </row>
    <row r="98" spans="1:7" x14ac:dyDescent="0.25">
      <c r="A98" s="54"/>
      <c r="B98" s="56"/>
      <c r="C98" s="56"/>
      <c r="D98" s="56"/>
      <c r="E98" s="56"/>
      <c r="F98" s="56"/>
      <c r="G98" s="66"/>
    </row>
    <row r="99" spans="1:7" x14ac:dyDescent="0.25">
      <c r="A99" s="105" t="s">
        <v>1507</v>
      </c>
      <c r="B99" s="95" t="s">
        <v>1508</v>
      </c>
      <c r="C99" s="95" t="s">
        <v>2018</v>
      </c>
      <c r="D99" s="95" t="s">
        <v>2019</v>
      </c>
      <c r="E99" s="56"/>
      <c r="F99" s="56"/>
      <c r="G99" s="66"/>
    </row>
    <row r="100" spans="1:7" x14ac:dyDescent="0.25">
      <c r="A100" s="96" t="s">
        <v>1557</v>
      </c>
      <c r="B100" s="97"/>
      <c r="C100" s="97">
        <v>17.8395981</v>
      </c>
      <c r="D100" s="97">
        <v>17.8395981</v>
      </c>
      <c r="E100" s="56"/>
      <c r="F100" s="56"/>
      <c r="G100" s="66"/>
    </row>
    <row r="101" spans="1:7" x14ac:dyDescent="0.25">
      <c r="A101" s="96" t="s">
        <v>1514</v>
      </c>
      <c r="B101" s="97"/>
      <c r="C101" s="97">
        <v>37.751279699999998</v>
      </c>
      <c r="D101" s="97">
        <v>37.751279699999998</v>
      </c>
      <c r="E101" s="56"/>
      <c r="F101" s="56"/>
      <c r="G101" s="66"/>
    </row>
    <row r="102" spans="1:7" x14ac:dyDescent="0.25">
      <c r="A102" s="96" t="s">
        <v>1543</v>
      </c>
      <c r="B102" s="97"/>
      <c r="C102" s="97">
        <v>16.7030055</v>
      </c>
      <c r="D102" s="97">
        <v>16.7030055</v>
      </c>
      <c r="E102" s="56"/>
      <c r="F102" s="56"/>
      <c r="G102" s="66"/>
    </row>
    <row r="103" spans="1:7" x14ac:dyDescent="0.25">
      <c r="A103" s="96" t="s">
        <v>1516</v>
      </c>
      <c r="B103" s="97"/>
      <c r="C103" s="97">
        <v>15.9099319</v>
      </c>
      <c r="D103" s="97">
        <v>15.9099319</v>
      </c>
      <c r="E103" s="56"/>
      <c r="F103" s="56"/>
      <c r="G103" s="66"/>
    </row>
    <row r="104" spans="1:7" x14ac:dyDescent="0.25">
      <c r="A104" s="96" t="s">
        <v>1558</v>
      </c>
      <c r="B104" s="97"/>
      <c r="C104" s="97">
        <v>20.078300800000001</v>
      </c>
      <c r="D104" s="97">
        <v>20.078300800000001</v>
      </c>
      <c r="E104" s="56"/>
      <c r="F104" s="56"/>
      <c r="G104" s="66"/>
    </row>
    <row r="105" spans="1:7" x14ac:dyDescent="0.25">
      <c r="A105" s="96" t="s">
        <v>1511</v>
      </c>
      <c r="B105" s="97"/>
      <c r="C105" s="97">
        <v>17.419855099999999</v>
      </c>
      <c r="D105" s="97">
        <v>17.419855099999999</v>
      </c>
      <c r="E105" s="56"/>
      <c r="F105" s="56"/>
      <c r="G105" s="66"/>
    </row>
    <row r="106" spans="1:7" x14ac:dyDescent="0.25">
      <c r="A106" s="96" t="s">
        <v>1559</v>
      </c>
      <c r="B106" s="97"/>
      <c r="C106" s="97">
        <v>19.2483726</v>
      </c>
      <c r="D106" s="97">
        <v>19.2483726</v>
      </c>
      <c r="E106" s="56"/>
      <c r="F106" s="56"/>
      <c r="G106" s="66"/>
    </row>
    <row r="107" spans="1:7" x14ac:dyDescent="0.25">
      <c r="A107" s="96" t="s">
        <v>1517</v>
      </c>
      <c r="B107" s="97"/>
      <c r="C107" s="97">
        <v>16.213804</v>
      </c>
      <c r="D107" s="97">
        <v>16.213804</v>
      </c>
      <c r="E107" s="56"/>
      <c r="F107" s="56"/>
      <c r="G107" s="66"/>
    </row>
    <row r="108" spans="1:7" x14ac:dyDescent="0.25">
      <c r="A108" s="96" t="s">
        <v>1510</v>
      </c>
      <c r="B108" s="97"/>
      <c r="C108" s="97">
        <v>34.963591200000003</v>
      </c>
      <c r="D108" s="97">
        <v>34.963591200000003</v>
      </c>
      <c r="E108" s="56"/>
      <c r="F108" s="56"/>
      <c r="G108" s="66"/>
    </row>
    <row r="109" spans="1:7" x14ac:dyDescent="0.25">
      <c r="A109" s="96" t="s">
        <v>1560</v>
      </c>
      <c r="B109" s="97"/>
      <c r="C109" s="97">
        <v>16.656422800000001</v>
      </c>
      <c r="D109" s="97">
        <v>16.656422800000001</v>
      </c>
      <c r="E109" s="56"/>
      <c r="F109" s="56"/>
      <c r="G109" s="66"/>
    </row>
    <row r="110" spans="1:7" x14ac:dyDescent="0.25">
      <c r="A110" s="96" t="s">
        <v>1512</v>
      </c>
      <c r="B110" s="97"/>
      <c r="C110" s="97">
        <v>36.461801999999999</v>
      </c>
      <c r="D110" s="97">
        <v>36.461801999999999</v>
      </c>
      <c r="E110" s="56"/>
      <c r="F110" s="56"/>
      <c r="G110" s="66"/>
    </row>
    <row r="111" spans="1:7" x14ac:dyDescent="0.25">
      <c r="A111" s="54"/>
      <c r="B111" s="56"/>
      <c r="C111" s="56"/>
      <c r="D111" s="56"/>
      <c r="E111" s="56"/>
      <c r="F111" s="56"/>
      <c r="G111" s="66"/>
    </row>
    <row r="112" spans="1:7" x14ac:dyDescent="0.25">
      <c r="A112" s="54" t="s">
        <v>2008</v>
      </c>
      <c r="B112" s="85" t="s">
        <v>85</v>
      </c>
      <c r="C112" s="56"/>
      <c r="D112" s="56"/>
      <c r="E112" s="56"/>
      <c r="F112" s="56"/>
      <c r="G112" s="66"/>
    </row>
    <row r="113" spans="1:7" x14ac:dyDescent="0.25">
      <c r="A113" s="84" t="s">
        <v>2009</v>
      </c>
      <c r="B113" s="85" t="s">
        <v>85</v>
      </c>
      <c r="C113" s="56"/>
      <c r="D113" s="56"/>
      <c r="E113" s="56"/>
      <c r="F113" s="56"/>
      <c r="G113" s="66"/>
    </row>
    <row r="114" spans="1:7" x14ac:dyDescent="0.25">
      <c r="A114" s="84" t="s">
        <v>2010</v>
      </c>
      <c r="B114" s="85" t="s">
        <v>85</v>
      </c>
      <c r="C114" s="56"/>
      <c r="D114" s="56"/>
      <c r="E114" s="56"/>
      <c r="F114" s="56"/>
      <c r="G114" s="66"/>
    </row>
    <row r="115" spans="1:7" x14ac:dyDescent="0.25">
      <c r="A115" s="54" t="s">
        <v>1494</v>
      </c>
      <c r="B115" s="88">
        <v>7.6266E-2</v>
      </c>
      <c r="C115" s="56"/>
      <c r="D115" s="56"/>
      <c r="E115" s="56"/>
      <c r="F115" s="56"/>
      <c r="G115" s="66"/>
    </row>
    <row r="116" spans="1:7" ht="30" x14ac:dyDescent="0.25">
      <c r="A116" s="84" t="s">
        <v>2011</v>
      </c>
      <c r="B116" s="85" t="s">
        <v>85</v>
      </c>
      <c r="C116" s="56"/>
      <c r="D116" s="56"/>
      <c r="E116" s="56"/>
      <c r="F116" s="56"/>
      <c r="G116" s="66"/>
    </row>
    <row r="117" spans="1:7" ht="30" x14ac:dyDescent="0.25">
      <c r="A117" s="84" t="s">
        <v>1495</v>
      </c>
      <c r="B117" s="85" t="s">
        <v>85</v>
      </c>
      <c r="C117" s="56"/>
      <c r="D117" s="56"/>
      <c r="E117" s="56"/>
      <c r="F117" s="56"/>
      <c r="G117" s="66"/>
    </row>
    <row r="118" spans="1:7" ht="30" x14ac:dyDescent="0.25">
      <c r="A118" s="84" t="s">
        <v>1498</v>
      </c>
      <c r="B118" s="88">
        <v>1673.3259605000001</v>
      </c>
      <c r="C118" s="56"/>
      <c r="D118" s="56"/>
      <c r="E118" s="56"/>
      <c r="F118" s="56"/>
      <c r="G118" s="66"/>
    </row>
    <row r="119" spans="1:7" x14ac:dyDescent="0.25">
      <c r="A119" s="54" t="s">
        <v>1609</v>
      </c>
      <c r="B119" s="85" t="s">
        <v>85</v>
      </c>
      <c r="C119" s="56"/>
      <c r="D119" s="56"/>
      <c r="E119" s="56"/>
      <c r="F119" s="56"/>
      <c r="G119" s="66"/>
    </row>
    <row r="120" spans="1:7" x14ac:dyDescent="0.25">
      <c r="A120" s="54" t="s">
        <v>1610</v>
      </c>
      <c r="B120" s="85" t="s">
        <v>85</v>
      </c>
      <c r="C120" s="56"/>
      <c r="D120" s="56"/>
      <c r="E120" s="56"/>
      <c r="F120" s="56"/>
      <c r="G120" s="66"/>
    </row>
    <row r="121" spans="1:7" ht="15.75" thickBot="1" x14ac:dyDescent="0.3">
      <c r="A121" s="89"/>
      <c r="B121" s="90"/>
      <c r="C121" s="90"/>
      <c r="D121" s="90"/>
      <c r="E121" s="90"/>
      <c r="F121" s="90"/>
      <c r="G121" s="91"/>
    </row>
    <row r="123" spans="1:7" ht="30" x14ac:dyDescent="0.25">
      <c r="A123" s="107" t="s">
        <v>2042</v>
      </c>
      <c r="B123" s="108" t="s">
        <v>2043</v>
      </c>
      <c r="C123" s="108" t="s">
        <v>2044</v>
      </c>
      <c r="D123" s="109" t="s">
        <v>2045</v>
      </c>
    </row>
    <row r="124" spans="1:7" ht="70.5" customHeight="1" x14ac:dyDescent="0.25">
      <c r="A124" s="110" t="str">
        <f>HYPERLINK("[EDEL_Portfolio Monthly 31-Mar-2022.xlsx]ELLIQF!A1","Edelweiss Liquid Fund")</f>
        <v>Edelweiss Liquid Fund</v>
      </c>
      <c r="B124" s="111"/>
      <c r="C124" s="111" t="s">
        <v>2074</v>
      </c>
      <c r="D124" s="111"/>
    </row>
  </sheetData>
  <mergeCells count="2">
    <mergeCell ref="A3:G3"/>
    <mergeCell ref="A4:G4"/>
  </mergeCells>
  <pageMargins left="0.7" right="0.7" top="0.75" bottom="0.75" header="0.3" footer="0.3"/>
  <pageSetup orientation="portrait" horizontalDpi="300" verticalDpi="300"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48"/>
  <sheetViews>
    <sheetView showGridLines="0" workbookViewId="0">
      <pane ySplit="6" topLeftCell="A1048562"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70</v>
      </c>
      <c r="B3" s="139"/>
      <c r="C3" s="139"/>
      <c r="D3" s="139"/>
      <c r="E3" s="139"/>
      <c r="F3" s="139"/>
      <c r="G3" s="140"/>
      <c r="H3" s="46" t="str">
        <f>HYPERLINK("[EDEL_Portfolio HY 31032022.xlsx]Index!A1","Index")</f>
        <v>Index</v>
      </c>
    </row>
    <row r="4" spans="1:8" ht="19.5" customHeight="1" x14ac:dyDescent="0.25">
      <c r="A4" s="141" t="s">
        <v>71</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1423</v>
      </c>
      <c r="B9" s="31"/>
      <c r="C9" s="31"/>
      <c r="D9" s="14"/>
      <c r="E9" s="15"/>
      <c r="F9" s="16"/>
      <c r="G9" s="75"/>
    </row>
    <row r="10" spans="1:8" x14ac:dyDescent="0.25">
      <c r="A10" s="76" t="s">
        <v>1424</v>
      </c>
      <c r="B10" s="32"/>
      <c r="C10" s="32"/>
      <c r="D10" s="18"/>
      <c r="E10" s="42"/>
      <c r="F10" s="21"/>
      <c r="G10" s="77"/>
    </row>
    <row r="11" spans="1:8" x14ac:dyDescent="0.25">
      <c r="A11" s="74" t="s">
        <v>2000</v>
      </c>
      <c r="B11" s="31" t="s">
        <v>1425</v>
      </c>
      <c r="C11" s="31"/>
      <c r="D11" s="14">
        <v>48938.953999999998</v>
      </c>
      <c r="E11" s="15">
        <v>6661.16</v>
      </c>
      <c r="F11" s="16">
        <v>0.98440000000000005</v>
      </c>
      <c r="G11" s="75"/>
    </row>
    <row r="12" spans="1:8" x14ac:dyDescent="0.25">
      <c r="A12" s="76" t="s">
        <v>90</v>
      </c>
      <c r="B12" s="32"/>
      <c r="C12" s="32"/>
      <c r="D12" s="18"/>
      <c r="E12" s="35">
        <v>6661.16</v>
      </c>
      <c r="F12" s="36">
        <v>0.98440000000000005</v>
      </c>
      <c r="G12" s="77"/>
    </row>
    <row r="13" spans="1:8" x14ac:dyDescent="0.25">
      <c r="A13" s="74"/>
      <c r="B13" s="31"/>
      <c r="C13" s="31"/>
      <c r="D13" s="14"/>
      <c r="E13" s="15"/>
      <c r="F13" s="16"/>
      <c r="G13" s="75"/>
    </row>
    <row r="14" spans="1:8" x14ac:dyDescent="0.25">
      <c r="A14" s="78" t="s">
        <v>93</v>
      </c>
      <c r="B14" s="79"/>
      <c r="C14" s="79"/>
      <c r="D14" s="80"/>
      <c r="E14" s="35">
        <v>6661.16</v>
      </c>
      <c r="F14" s="36">
        <v>0.98440000000000005</v>
      </c>
      <c r="G14" s="77"/>
    </row>
    <row r="15" spans="1:8" x14ac:dyDescent="0.25">
      <c r="A15" s="74"/>
      <c r="B15" s="31"/>
      <c r="C15" s="31"/>
      <c r="D15" s="14"/>
      <c r="E15" s="15"/>
      <c r="F15" s="16"/>
      <c r="G15" s="75"/>
    </row>
    <row r="16" spans="1:8" x14ac:dyDescent="0.25">
      <c r="A16" s="76" t="s">
        <v>110</v>
      </c>
      <c r="B16" s="31"/>
      <c r="C16" s="31"/>
      <c r="D16" s="14"/>
      <c r="E16" s="15"/>
      <c r="F16" s="16"/>
      <c r="G16" s="75"/>
    </row>
    <row r="17" spans="1:7" x14ac:dyDescent="0.25">
      <c r="A17" s="74" t="s">
        <v>111</v>
      </c>
      <c r="B17" s="31"/>
      <c r="C17" s="31"/>
      <c r="D17" s="14"/>
      <c r="E17" s="15">
        <v>113.96</v>
      </c>
      <c r="F17" s="16">
        <v>1.6799999999999999E-2</v>
      </c>
      <c r="G17" s="75">
        <v>3.5790000000000002E-2</v>
      </c>
    </row>
    <row r="18" spans="1:7" x14ac:dyDescent="0.25">
      <c r="A18" s="76" t="s">
        <v>90</v>
      </c>
      <c r="B18" s="32"/>
      <c r="C18" s="32"/>
      <c r="D18" s="18"/>
      <c r="E18" s="35">
        <v>113.96</v>
      </c>
      <c r="F18" s="36">
        <v>1.6799999999999999E-2</v>
      </c>
      <c r="G18" s="77"/>
    </row>
    <row r="19" spans="1:7" x14ac:dyDescent="0.25">
      <c r="A19" s="74"/>
      <c r="B19" s="31"/>
      <c r="C19" s="31"/>
      <c r="D19" s="14"/>
      <c r="E19" s="15"/>
      <c r="F19" s="16"/>
      <c r="G19" s="75"/>
    </row>
    <row r="20" spans="1:7" x14ac:dyDescent="0.25">
      <c r="A20" s="78" t="s">
        <v>93</v>
      </c>
      <c r="B20" s="79"/>
      <c r="C20" s="79"/>
      <c r="D20" s="80"/>
      <c r="E20" s="35">
        <v>113.96</v>
      </c>
      <c r="F20" s="36">
        <v>1.6799999999999999E-2</v>
      </c>
      <c r="G20" s="77"/>
    </row>
    <row r="21" spans="1:7" x14ac:dyDescent="0.25">
      <c r="A21" s="74" t="s">
        <v>112</v>
      </c>
      <c r="B21" s="31"/>
      <c r="C21" s="31"/>
      <c r="D21" s="14"/>
      <c r="E21" s="15">
        <v>1.11739E-2</v>
      </c>
      <c r="F21" s="53" t="s">
        <v>2022</v>
      </c>
      <c r="G21" s="75"/>
    </row>
    <row r="22" spans="1:7" x14ac:dyDescent="0.25">
      <c r="A22" s="74" t="s">
        <v>113</v>
      </c>
      <c r="B22" s="31"/>
      <c r="C22" s="31"/>
      <c r="D22" s="14"/>
      <c r="E22" s="24">
        <v>-8.1211739000000005</v>
      </c>
      <c r="F22" s="25">
        <v>-1.201E-3</v>
      </c>
      <c r="G22" s="75">
        <v>3.5790000000000002E-2</v>
      </c>
    </row>
    <row r="23" spans="1:7" x14ac:dyDescent="0.25">
      <c r="A23" s="81" t="s">
        <v>114</v>
      </c>
      <c r="B23" s="34"/>
      <c r="C23" s="34"/>
      <c r="D23" s="27"/>
      <c r="E23" s="28">
        <v>6767.01</v>
      </c>
      <c r="F23" s="29">
        <v>1</v>
      </c>
      <c r="G23" s="82"/>
    </row>
    <row r="24" spans="1:7" x14ac:dyDescent="0.25">
      <c r="A24" s="54"/>
      <c r="B24" s="56"/>
      <c r="C24" s="56"/>
      <c r="D24" s="56"/>
      <c r="E24" s="56"/>
      <c r="F24" s="56"/>
      <c r="G24" s="66"/>
    </row>
    <row r="25" spans="1:7" x14ac:dyDescent="0.25">
      <c r="A25" s="83" t="s">
        <v>2023</v>
      </c>
      <c r="B25" s="56"/>
      <c r="C25" s="56"/>
      <c r="D25" s="56"/>
      <c r="E25" s="56"/>
      <c r="F25" s="56"/>
      <c r="G25" s="66"/>
    </row>
    <row r="26" spans="1:7" x14ac:dyDescent="0.25">
      <c r="A26" s="54"/>
      <c r="B26" s="56"/>
      <c r="C26" s="56"/>
      <c r="D26" s="56"/>
      <c r="E26" s="56"/>
      <c r="F26" s="56"/>
      <c r="G26" s="66"/>
    </row>
    <row r="27" spans="1:7" x14ac:dyDescent="0.25">
      <c r="A27" s="83" t="s">
        <v>1476</v>
      </c>
      <c r="B27" s="56"/>
      <c r="C27" s="56"/>
      <c r="D27" s="56"/>
      <c r="E27" s="56"/>
      <c r="F27" s="56"/>
      <c r="G27" s="66"/>
    </row>
    <row r="28" spans="1:7" x14ac:dyDescent="0.25">
      <c r="A28" s="84" t="s">
        <v>1477</v>
      </c>
      <c r="B28" s="85" t="s">
        <v>85</v>
      </c>
      <c r="C28" s="56"/>
      <c r="D28" s="56"/>
      <c r="E28" s="56"/>
      <c r="F28" s="56"/>
      <c r="G28" s="66"/>
    </row>
    <row r="29" spans="1:7" x14ac:dyDescent="0.25">
      <c r="A29" s="54" t="s">
        <v>1626</v>
      </c>
      <c r="B29" s="56"/>
      <c r="C29" s="56"/>
      <c r="D29" s="56"/>
      <c r="E29" s="56"/>
      <c r="F29" s="56"/>
      <c r="G29" s="66"/>
    </row>
    <row r="30" spans="1:7" x14ac:dyDescent="0.25">
      <c r="A30" s="54" t="s">
        <v>1478</v>
      </c>
      <c r="B30" s="85" t="s">
        <v>1479</v>
      </c>
      <c r="C30" s="85" t="s">
        <v>1479</v>
      </c>
      <c r="D30" s="56"/>
      <c r="E30" s="56"/>
      <c r="F30" s="56"/>
      <c r="G30" s="66"/>
    </row>
    <row r="31" spans="1:7" x14ac:dyDescent="0.25">
      <c r="A31" s="54"/>
      <c r="B31" s="86">
        <v>44469</v>
      </c>
      <c r="C31" s="86">
        <v>44651</v>
      </c>
      <c r="D31" s="56"/>
      <c r="E31" s="56"/>
      <c r="F31" s="56"/>
      <c r="G31" s="66"/>
    </row>
    <row r="32" spans="1:7" x14ac:dyDescent="0.25">
      <c r="A32" s="54" t="s">
        <v>1483</v>
      </c>
      <c r="B32" s="56">
        <v>25.216000000000001</v>
      </c>
      <c r="C32" s="56">
        <v>26.507000000000001</v>
      </c>
      <c r="D32" s="56"/>
      <c r="E32" s="59"/>
      <c r="F32" s="56"/>
      <c r="G32" s="87"/>
    </row>
    <row r="33" spans="1:7" x14ac:dyDescent="0.25">
      <c r="A33" s="54" t="s">
        <v>1503</v>
      </c>
      <c r="B33" s="56">
        <v>23.219000000000001</v>
      </c>
      <c r="C33" s="56">
        <v>24.311</v>
      </c>
      <c r="D33" s="56"/>
      <c r="E33" s="59"/>
      <c r="F33" s="56"/>
      <c r="G33" s="87"/>
    </row>
    <row r="34" spans="1:7" x14ac:dyDescent="0.25">
      <c r="A34" s="54"/>
      <c r="B34" s="56"/>
      <c r="C34" s="56"/>
      <c r="D34" s="56"/>
      <c r="E34" s="59"/>
      <c r="F34" s="56"/>
      <c r="G34" s="87"/>
    </row>
    <row r="35" spans="1:7" x14ac:dyDescent="0.25">
      <c r="A35" s="54" t="s">
        <v>2006</v>
      </c>
      <c r="B35" s="85" t="s">
        <v>85</v>
      </c>
      <c r="C35" s="56"/>
      <c r="D35" s="56"/>
      <c r="E35" s="56"/>
      <c r="F35" s="56"/>
      <c r="G35" s="66"/>
    </row>
    <row r="36" spans="1:7" x14ac:dyDescent="0.25">
      <c r="A36" s="54" t="s">
        <v>2008</v>
      </c>
      <c r="B36" s="85" t="s">
        <v>85</v>
      </c>
      <c r="C36" s="56"/>
      <c r="D36" s="56"/>
      <c r="E36" s="56"/>
      <c r="F36" s="56"/>
      <c r="G36" s="66"/>
    </row>
    <row r="37" spans="1:7" ht="18" customHeight="1" x14ac:dyDescent="0.25">
      <c r="A37" s="84" t="s">
        <v>2009</v>
      </c>
      <c r="B37" s="85" t="s">
        <v>85</v>
      </c>
      <c r="C37" s="56"/>
      <c r="D37" s="56"/>
      <c r="E37" s="56"/>
      <c r="F37" s="56"/>
      <c r="G37" s="66"/>
    </row>
    <row r="38" spans="1:7" x14ac:dyDescent="0.25">
      <c r="A38" s="84" t="s">
        <v>2010</v>
      </c>
      <c r="B38" s="88">
        <v>6661.1616823000004</v>
      </c>
      <c r="C38" s="56"/>
      <c r="D38" s="56"/>
      <c r="E38" s="56"/>
      <c r="F38" s="56"/>
      <c r="G38" s="66"/>
    </row>
    <row r="39" spans="1:7" ht="30" x14ac:dyDescent="0.25">
      <c r="A39" s="84" t="s">
        <v>2012</v>
      </c>
      <c r="B39" s="85" t="s">
        <v>85</v>
      </c>
      <c r="C39" s="56"/>
      <c r="D39" s="56"/>
      <c r="E39" s="56"/>
      <c r="F39" s="56"/>
      <c r="G39" s="66"/>
    </row>
    <row r="40" spans="1:7" ht="30" x14ac:dyDescent="0.25">
      <c r="A40" s="84" t="s">
        <v>1561</v>
      </c>
      <c r="B40" s="85" t="s">
        <v>85</v>
      </c>
      <c r="C40" s="56"/>
      <c r="D40" s="56"/>
      <c r="E40" s="56"/>
      <c r="F40" s="56"/>
      <c r="G40" s="66"/>
    </row>
    <row r="41" spans="1:7" x14ac:dyDescent="0.25">
      <c r="A41" s="54" t="s">
        <v>2038</v>
      </c>
      <c r="B41" s="85" t="s">
        <v>85</v>
      </c>
      <c r="C41" s="56"/>
      <c r="D41" s="56"/>
      <c r="E41" s="56"/>
      <c r="F41" s="56"/>
      <c r="G41" s="66"/>
    </row>
    <row r="42" spans="1:7" x14ac:dyDescent="0.25">
      <c r="A42" s="54" t="s">
        <v>2039</v>
      </c>
      <c r="B42" s="85" t="s">
        <v>85</v>
      </c>
      <c r="C42" s="56"/>
      <c r="D42" s="56"/>
      <c r="E42" s="56"/>
      <c r="F42" s="56"/>
      <c r="G42" s="66"/>
    </row>
    <row r="43" spans="1:7" x14ac:dyDescent="0.25">
      <c r="A43" s="54"/>
      <c r="B43" s="56"/>
      <c r="C43" s="56"/>
      <c r="D43" s="56"/>
      <c r="E43" s="56"/>
      <c r="F43" s="56"/>
      <c r="G43" s="66"/>
    </row>
    <row r="44" spans="1:7" ht="15.75" thickBot="1" x14ac:dyDescent="0.3">
      <c r="A44" s="89"/>
      <c r="B44" s="90"/>
      <c r="C44" s="90"/>
      <c r="D44" s="90"/>
      <c r="E44" s="90"/>
      <c r="F44" s="90"/>
      <c r="G44" s="91"/>
    </row>
    <row r="47" spans="1:7" ht="30" x14ac:dyDescent="0.25">
      <c r="A47" s="107" t="s">
        <v>2042</v>
      </c>
      <c r="B47" s="108" t="s">
        <v>2043</v>
      </c>
      <c r="C47" s="108" t="s">
        <v>2044</v>
      </c>
      <c r="D47" s="109" t="s">
        <v>2045</v>
      </c>
    </row>
    <row r="48" spans="1:7" ht="42.75" customHeight="1" x14ac:dyDescent="0.25">
      <c r="A48" s="110" t="str">
        <f>HYPERLINK("[EDEL_Portfolio Monthly 31-Mar-2022.xlsx]EOASEF!A1","Edelweiss ASEAN Equity Off-shore Fund")</f>
        <v>Edelweiss ASEAN Equity Off-shore Fund</v>
      </c>
      <c r="B48" s="111"/>
      <c r="C48" s="111" t="s">
        <v>2075</v>
      </c>
      <c r="D48" s="111"/>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47"/>
  <sheetViews>
    <sheetView showGridLines="0" workbookViewId="0">
      <pane ySplit="6" topLeftCell="A1048562"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72</v>
      </c>
      <c r="B3" s="139"/>
      <c r="C3" s="139"/>
      <c r="D3" s="139"/>
      <c r="E3" s="139"/>
      <c r="F3" s="139"/>
      <c r="G3" s="140"/>
      <c r="H3" s="46" t="str">
        <f>HYPERLINK("[EDEL_Portfolio HY 31032022.xlsx]Index!A1","Index")</f>
        <v>Index</v>
      </c>
    </row>
    <row r="4" spans="1:8" ht="19.5" customHeight="1" x14ac:dyDescent="0.25">
      <c r="A4" s="141" t="s">
        <v>73</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1423</v>
      </c>
      <c r="B9" s="31"/>
      <c r="C9" s="31"/>
      <c r="D9" s="14"/>
      <c r="E9" s="15"/>
      <c r="F9" s="16"/>
      <c r="G9" s="75"/>
    </row>
    <row r="10" spans="1:8" x14ac:dyDescent="0.25">
      <c r="A10" s="76" t="s">
        <v>1424</v>
      </c>
      <c r="B10" s="32"/>
      <c r="C10" s="32"/>
      <c r="D10" s="18"/>
      <c r="E10" s="42"/>
      <c r="F10" s="21"/>
      <c r="G10" s="77"/>
    </row>
    <row r="11" spans="1:8" x14ac:dyDescent="0.25">
      <c r="A11" s="74" t="s">
        <v>2001</v>
      </c>
      <c r="B11" s="31" t="s">
        <v>1426</v>
      </c>
      <c r="C11" s="31"/>
      <c r="D11" s="14">
        <v>1332865.0260000001</v>
      </c>
      <c r="E11" s="15">
        <v>170647.52</v>
      </c>
      <c r="F11" s="16">
        <v>1.0015000000000001</v>
      </c>
      <c r="G11" s="75"/>
    </row>
    <row r="12" spans="1:8" x14ac:dyDescent="0.25">
      <c r="A12" s="76" t="s">
        <v>90</v>
      </c>
      <c r="B12" s="32"/>
      <c r="C12" s="32"/>
      <c r="D12" s="18"/>
      <c r="E12" s="35">
        <v>170647.52</v>
      </c>
      <c r="F12" s="36">
        <v>1.0015000000000001</v>
      </c>
      <c r="G12" s="77"/>
    </row>
    <row r="13" spans="1:8" x14ac:dyDescent="0.25">
      <c r="A13" s="74"/>
      <c r="B13" s="31"/>
      <c r="C13" s="31"/>
      <c r="D13" s="14"/>
      <c r="E13" s="15"/>
      <c r="F13" s="16"/>
      <c r="G13" s="75"/>
    </row>
    <row r="14" spans="1:8" x14ac:dyDescent="0.25">
      <c r="A14" s="78" t="s">
        <v>93</v>
      </c>
      <c r="B14" s="79"/>
      <c r="C14" s="79"/>
      <c r="D14" s="80"/>
      <c r="E14" s="35">
        <v>170647.52</v>
      </c>
      <c r="F14" s="36">
        <v>1.0015000000000001</v>
      </c>
      <c r="G14" s="77"/>
    </row>
    <row r="15" spans="1:8" x14ac:dyDescent="0.25">
      <c r="A15" s="74"/>
      <c r="B15" s="31"/>
      <c r="C15" s="31"/>
      <c r="D15" s="14"/>
      <c r="E15" s="15"/>
      <c r="F15" s="16"/>
      <c r="G15" s="75"/>
    </row>
    <row r="16" spans="1:8" x14ac:dyDescent="0.25">
      <c r="A16" s="76" t="s">
        <v>110</v>
      </c>
      <c r="B16" s="31"/>
      <c r="C16" s="31"/>
      <c r="D16" s="14"/>
      <c r="E16" s="15"/>
      <c r="F16" s="16"/>
      <c r="G16" s="75"/>
    </row>
    <row r="17" spans="1:7" x14ac:dyDescent="0.25">
      <c r="A17" s="74" t="s">
        <v>111</v>
      </c>
      <c r="B17" s="31"/>
      <c r="C17" s="31"/>
      <c r="D17" s="14"/>
      <c r="E17" s="15">
        <v>699.73</v>
      </c>
      <c r="F17" s="16">
        <v>4.1000000000000003E-3</v>
      </c>
      <c r="G17" s="75">
        <v>3.5790000000000002E-2</v>
      </c>
    </row>
    <row r="18" spans="1:7" x14ac:dyDescent="0.25">
      <c r="A18" s="76" t="s">
        <v>90</v>
      </c>
      <c r="B18" s="32"/>
      <c r="C18" s="32"/>
      <c r="D18" s="18"/>
      <c r="E18" s="35">
        <v>699.73</v>
      </c>
      <c r="F18" s="36">
        <v>4.1000000000000003E-3</v>
      </c>
      <c r="G18" s="77"/>
    </row>
    <row r="19" spans="1:7" x14ac:dyDescent="0.25">
      <c r="A19" s="74"/>
      <c r="B19" s="31"/>
      <c r="C19" s="31"/>
      <c r="D19" s="14"/>
      <c r="E19" s="15"/>
      <c r="F19" s="16"/>
      <c r="G19" s="75"/>
    </row>
    <row r="20" spans="1:7" x14ac:dyDescent="0.25">
      <c r="A20" s="78" t="s">
        <v>93</v>
      </c>
      <c r="B20" s="79"/>
      <c r="C20" s="79"/>
      <c r="D20" s="80"/>
      <c r="E20" s="35">
        <v>699.73</v>
      </c>
      <c r="F20" s="36">
        <v>4.1000000000000003E-3</v>
      </c>
      <c r="G20" s="77"/>
    </row>
    <row r="21" spans="1:7" x14ac:dyDescent="0.25">
      <c r="A21" s="74" t="s">
        <v>112</v>
      </c>
      <c r="B21" s="31"/>
      <c r="C21" s="31"/>
      <c r="D21" s="14"/>
      <c r="E21" s="15">
        <v>6.8611400000000003E-2</v>
      </c>
      <c r="F21" s="53" t="s">
        <v>2022</v>
      </c>
      <c r="G21" s="75"/>
    </row>
    <row r="22" spans="1:7" x14ac:dyDescent="0.25">
      <c r="A22" s="74" t="s">
        <v>113</v>
      </c>
      <c r="B22" s="31"/>
      <c r="C22" s="31"/>
      <c r="D22" s="14"/>
      <c r="E22" s="24">
        <v>-955.24861139999996</v>
      </c>
      <c r="F22" s="25">
        <v>-5.5999999999999999E-3</v>
      </c>
      <c r="G22" s="75">
        <v>3.5790000000000002E-2</v>
      </c>
    </row>
    <row r="23" spans="1:7" x14ac:dyDescent="0.25">
      <c r="A23" s="81" t="s">
        <v>114</v>
      </c>
      <c r="B23" s="34"/>
      <c r="C23" s="34"/>
      <c r="D23" s="27"/>
      <c r="E23" s="28">
        <v>170392.07</v>
      </c>
      <c r="F23" s="29">
        <v>1</v>
      </c>
      <c r="G23" s="82"/>
    </row>
    <row r="24" spans="1:7" x14ac:dyDescent="0.25">
      <c r="A24" s="54"/>
      <c r="B24" s="56"/>
      <c r="C24" s="56"/>
      <c r="D24" s="56"/>
      <c r="E24" s="56"/>
      <c r="F24" s="56"/>
      <c r="G24" s="66"/>
    </row>
    <row r="25" spans="1:7" x14ac:dyDescent="0.25">
      <c r="A25" s="83" t="s">
        <v>2023</v>
      </c>
      <c r="B25" s="56"/>
      <c r="C25" s="56"/>
      <c r="D25" s="56"/>
      <c r="E25" s="56"/>
      <c r="F25" s="56"/>
      <c r="G25" s="66"/>
    </row>
    <row r="26" spans="1:7" x14ac:dyDescent="0.25">
      <c r="A26" s="54"/>
      <c r="B26" s="56"/>
      <c r="C26" s="56"/>
      <c r="D26" s="56"/>
      <c r="E26" s="56"/>
      <c r="F26" s="56"/>
      <c r="G26" s="66"/>
    </row>
    <row r="27" spans="1:7" x14ac:dyDescent="0.25">
      <c r="A27" s="83" t="s">
        <v>1476</v>
      </c>
      <c r="B27" s="56"/>
      <c r="C27" s="56"/>
      <c r="D27" s="56"/>
      <c r="E27" s="56"/>
      <c r="F27" s="56"/>
      <c r="G27" s="66"/>
    </row>
    <row r="28" spans="1:7" x14ac:dyDescent="0.25">
      <c r="A28" s="84" t="s">
        <v>1477</v>
      </c>
      <c r="B28" s="85" t="s">
        <v>85</v>
      </c>
      <c r="C28" s="56"/>
      <c r="D28" s="56"/>
      <c r="E28" s="56"/>
      <c r="F28" s="56"/>
      <c r="G28" s="66"/>
    </row>
    <row r="29" spans="1:7" x14ac:dyDescent="0.25">
      <c r="A29" s="54" t="s">
        <v>1626</v>
      </c>
      <c r="B29" s="56"/>
      <c r="C29" s="56"/>
      <c r="D29" s="56"/>
      <c r="E29" s="56"/>
      <c r="F29" s="56"/>
      <c r="G29" s="66"/>
    </row>
    <row r="30" spans="1:7" x14ac:dyDescent="0.25">
      <c r="A30" s="54" t="s">
        <v>1478</v>
      </c>
      <c r="B30" s="85" t="s">
        <v>1479</v>
      </c>
      <c r="C30" s="85" t="s">
        <v>1479</v>
      </c>
      <c r="D30" s="56"/>
      <c r="E30" s="56"/>
      <c r="F30" s="56"/>
      <c r="G30" s="66"/>
    </row>
    <row r="31" spans="1:7" x14ac:dyDescent="0.25">
      <c r="A31" s="54"/>
      <c r="B31" s="86">
        <v>44469</v>
      </c>
      <c r="C31" s="86">
        <v>44651</v>
      </c>
      <c r="D31" s="56"/>
      <c r="E31" s="56"/>
      <c r="F31" s="56"/>
      <c r="G31" s="66"/>
    </row>
    <row r="32" spans="1:7" x14ac:dyDescent="0.25">
      <c r="A32" s="54" t="s">
        <v>1483</v>
      </c>
      <c r="B32" s="56">
        <v>52.768999999999998</v>
      </c>
      <c r="C32" s="56">
        <v>43.683999999999997</v>
      </c>
      <c r="D32" s="56"/>
      <c r="E32" s="59"/>
      <c r="F32" s="56"/>
      <c r="G32" s="87"/>
    </row>
    <row r="33" spans="1:7" x14ac:dyDescent="0.25">
      <c r="A33" s="54" t="s">
        <v>1503</v>
      </c>
      <c r="B33" s="56">
        <v>48.631</v>
      </c>
      <c r="C33" s="56">
        <v>40.076000000000001</v>
      </c>
      <c r="D33" s="56"/>
      <c r="E33" s="59"/>
      <c r="F33" s="56"/>
      <c r="G33" s="87"/>
    </row>
    <row r="34" spans="1:7" x14ac:dyDescent="0.25">
      <c r="A34" s="54"/>
      <c r="B34" s="56"/>
      <c r="C34" s="56"/>
      <c r="D34" s="56"/>
      <c r="E34" s="59"/>
      <c r="F34" s="56"/>
      <c r="G34" s="87"/>
    </row>
    <row r="35" spans="1:7" x14ac:dyDescent="0.25">
      <c r="A35" s="54" t="s">
        <v>2006</v>
      </c>
      <c r="B35" s="85" t="s">
        <v>85</v>
      </c>
      <c r="C35" s="56"/>
      <c r="D35" s="56"/>
      <c r="E35" s="56"/>
      <c r="F35" s="56"/>
      <c r="G35" s="66"/>
    </row>
    <row r="36" spans="1:7" x14ac:dyDescent="0.25">
      <c r="A36" s="54" t="s">
        <v>2008</v>
      </c>
      <c r="B36" s="85" t="s">
        <v>85</v>
      </c>
      <c r="C36" s="56"/>
      <c r="D36" s="56"/>
      <c r="E36" s="56"/>
      <c r="F36" s="56"/>
      <c r="G36" s="66"/>
    </row>
    <row r="37" spans="1:7" ht="21" customHeight="1" x14ac:dyDescent="0.25">
      <c r="A37" s="84" t="s">
        <v>2009</v>
      </c>
      <c r="B37" s="85" t="s">
        <v>85</v>
      </c>
      <c r="C37" s="56"/>
      <c r="D37" s="56"/>
      <c r="E37" s="56"/>
      <c r="F37" s="56"/>
      <c r="G37" s="66"/>
    </row>
    <row r="38" spans="1:7" x14ac:dyDescent="0.25">
      <c r="A38" s="84" t="s">
        <v>2010</v>
      </c>
      <c r="B38" s="88">
        <v>170647.5239117</v>
      </c>
      <c r="C38" s="56"/>
      <c r="D38" s="56"/>
      <c r="E38" s="56"/>
      <c r="F38" s="56"/>
      <c r="G38" s="66"/>
    </row>
    <row r="39" spans="1:7" ht="30" x14ac:dyDescent="0.25">
      <c r="A39" s="84" t="s">
        <v>2012</v>
      </c>
      <c r="B39" s="85" t="s">
        <v>85</v>
      </c>
      <c r="C39" s="56"/>
      <c r="D39" s="56"/>
      <c r="E39" s="56"/>
      <c r="F39" s="56"/>
      <c r="G39" s="66"/>
    </row>
    <row r="40" spans="1:7" ht="30" x14ac:dyDescent="0.25">
      <c r="A40" s="84" t="s">
        <v>1561</v>
      </c>
      <c r="B40" s="85" t="s">
        <v>85</v>
      </c>
      <c r="C40" s="56"/>
      <c r="D40" s="56"/>
      <c r="E40" s="56"/>
      <c r="F40" s="56"/>
      <c r="G40" s="66"/>
    </row>
    <row r="41" spans="1:7" x14ac:dyDescent="0.25">
      <c r="A41" s="84" t="s">
        <v>2038</v>
      </c>
      <c r="B41" s="85" t="s">
        <v>85</v>
      </c>
      <c r="C41" s="56"/>
      <c r="D41" s="56"/>
      <c r="E41" s="56"/>
      <c r="F41" s="56"/>
      <c r="G41" s="66"/>
    </row>
    <row r="42" spans="1:7" x14ac:dyDescent="0.25">
      <c r="A42" s="54" t="s">
        <v>2039</v>
      </c>
      <c r="B42" s="85" t="s">
        <v>85</v>
      </c>
      <c r="C42" s="56"/>
      <c r="D42" s="56"/>
      <c r="E42" s="56"/>
      <c r="F42" s="56"/>
      <c r="G42" s="66"/>
    </row>
    <row r="43" spans="1:7" x14ac:dyDescent="0.25">
      <c r="A43" s="54"/>
      <c r="B43" s="85"/>
      <c r="C43" s="56"/>
      <c r="D43" s="56"/>
      <c r="E43" s="56"/>
      <c r="F43" s="56"/>
      <c r="G43" s="66"/>
    </row>
    <row r="44" spans="1:7" ht="15.75" thickBot="1" x14ac:dyDescent="0.3">
      <c r="A44" s="89"/>
      <c r="B44" s="90"/>
      <c r="C44" s="90"/>
      <c r="D44" s="90"/>
      <c r="E44" s="90"/>
      <c r="F44" s="90"/>
      <c r="G44" s="91"/>
    </row>
    <row r="46" spans="1:7" ht="30" x14ac:dyDescent="0.25">
      <c r="A46" s="107" t="s">
        <v>2042</v>
      </c>
      <c r="B46" s="108" t="s">
        <v>2043</v>
      </c>
      <c r="C46" s="108" t="s">
        <v>2044</v>
      </c>
      <c r="D46" s="109" t="s">
        <v>2045</v>
      </c>
    </row>
    <row r="47" spans="1:7" ht="48" customHeight="1" x14ac:dyDescent="0.25">
      <c r="A47" s="110" t="str">
        <f>HYPERLINK("[EDEL_Portfolio Monthly 31-Mar-2022.xlsx]EOCHIF!A1","Edelweiss Greater China Equity Off-shore Fund")</f>
        <v>Edelweiss Greater China Equity Off-shore Fund</v>
      </c>
      <c r="B47" s="111"/>
      <c r="C47" s="112" t="s">
        <v>2076</v>
      </c>
      <c r="D47" s="111"/>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98"/>
  <sheetViews>
    <sheetView showGridLines="0" workbookViewId="0">
      <pane ySplit="6" topLeftCell="A29"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32" bestFit="1"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74</v>
      </c>
      <c r="B3" s="139"/>
      <c r="C3" s="139"/>
      <c r="D3" s="139"/>
      <c r="E3" s="139"/>
      <c r="F3" s="139"/>
      <c r="G3" s="140"/>
      <c r="H3" s="46" t="str">
        <f>HYPERLINK("[EDEL_Portfolio HY 31032022.xlsx]Index!A1","Index")</f>
        <v>Index</v>
      </c>
    </row>
    <row r="4" spans="1:8" ht="19.5" customHeight="1" x14ac:dyDescent="0.25">
      <c r="A4" s="141" t="s">
        <v>75</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6" t="s">
        <v>84</v>
      </c>
      <c r="B8" s="31"/>
      <c r="C8" s="31"/>
      <c r="D8" s="14"/>
      <c r="E8" s="15"/>
      <c r="F8" s="16"/>
      <c r="G8" s="75"/>
    </row>
    <row r="9" spans="1:8" x14ac:dyDescent="0.25">
      <c r="A9" s="76" t="s">
        <v>435</v>
      </c>
      <c r="B9" s="31"/>
      <c r="C9" s="31"/>
      <c r="D9" s="14"/>
      <c r="E9" s="15"/>
      <c r="F9" s="16"/>
      <c r="G9" s="75"/>
    </row>
    <row r="10" spans="1:8" x14ac:dyDescent="0.25">
      <c r="A10" s="74" t="s">
        <v>724</v>
      </c>
      <c r="B10" s="31" t="s">
        <v>725</v>
      </c>
      <c r="C10" s="31" t="s">
        <v>555</v>
      </c>
      <c r="D10" s="14">
        <v>209082</v>
      </c>
      <c r="E10" s="15">
        <v>1912.58</v>
      </c>
      <c r="F10" s="16">
        <v>0.112</v>
      </c>
      <c r="G10" s="75"/>
    </row>
    <row r="11" spans="1:8" x14ac:dyDescent="0.25">
      <c r="A11" s="74" t="s">
        <v>777</v>
      </c>
      <c r="B11" s="31" t="s">
        <v>778</v>
      </c>
      <c r="C11" s="31" t="s">
        <v>555</v>
      </c>
      <c r="D11" s="14">
        <v>33041</v>
      </c>
      <c r="E11" s="15">
        <v>1454.48</v>
      </c>
      <c r="F11" s="16">
        <v>8.5199999999999998E-2</v>
      </c>
      <c r="G11" s="75"/>
    </row>
    <row r="12" spans="1:8" x14ac:dyDescent="0.25">
      <c r="A12" s="74" t="s">
        <v>690</v>
      </c>
      <c r="B12" s="31" t="s">
        <v>691</v>
      </c>
      <c r="C12" s="31" t="s">
        <v>555</v>
      </c>
      <c r="D12" s="14">
        <v>29011</v>
      </c>
      <c r="E12" s="15">
        <v>1246.1500000000001</v>
      </c>
      <c r="F12" s="16">
        <v>7.2999999999999995E-2</v>
      </c>
      <c r="G12" s="75"/>
    </row>
    <row r="13" spans="1:8" x14ac:dyDescent="0.25">
      <c r="A13" s="74" t="s">
        <v>553</v>
      </c>
      <c r="B13" s="31" t="s">
        <v>554</v>
      </c>
      <c r="C13" s="31" t="s">
        <v>555</v>
      </c>
      <c r="D13" s="14">
        <v>120566</v>
      </c>
      <c r="E13" s="15">
        <v>1227.42</v>
      </c>
      <c r="F13" s="16">
        <v>7.1900000000000006E-2</v>
      </c>
      <c r="G13" s="75"/>
    </row>
    <row r="14" spans="1:8" x14ac:dyDescent="0.25">
      <c r="A14" s="74" t="s">
        <v>596</v>
      </c>
      <c r="B14" s="31" t="s">
        <v>597</v>
      </c>
      <c r="C14" s="31" t="s">
        <v>573</v>
      </c>
      <c r="D14" s="14">
        <v>25078</v>
      </c>
      <c r="E14" s="15">
        <v>1132.55</v>
      </c>
      <c r="F14" s="16">
        <v>6.6299999999999998E-2</v>
      </c>
      <c r="G14" s="75"/>
    </row>
    <row r="15" spans="1:8" x14ac:dyDescent="0.25">
      <c r="A15" s="74" t="s">
        <v>712</v>
      </c>
      <c r="B15" s="31" t="s">
        <v>713</v>
      </c>
      <c r="C15" s="31" t="s">
        <v>555</v>
      </c>
      <c r="D15" s="14">
        <v>72942</v>
      </c>
      <c r="E15" s="15">
        <v>487.65</v>
      </c>
      <c r="F15" s="16">
        <v>2.86E-2</v>
      </c>
      <c r="G15" s="75"/>
    </row>
    <row r="16" spans="1:8" x14ac:dyDescent="0.25">
      <c r="A16" s="74" t="s">
        <v>620</v>
      </c>
      <c r="B16" s="31" t="s">
        <v>621</v>
      </c>
      <c r="C16" s="31" t="s">
        <v>555</v>
      </c>
      <c r="D16" s="14">
        <v>80155</v>
      </c>
      <c r="E16" s="15">
        <v>472.99</v>
      </c>
      <c r="F16" s="16">
        <v>2.7699999999999999E-2</v>
      </c>
      <c r="G16" s="75"/>
    </row>
    <row r="17" spans="1:7" x14ac:dyDescent="0.25">
      <c r="A17" s="74" t="s">
        <v>574</v>
      </c>
      <c r="B17" s="31" t="s">
        <v>575</v>
      </c>
      <c r="C17" s="31" t="s">
        <v>555</v>
      </c>
      <c r="D17" s="14">
        <v>56629</v>
      </c>
      <c r="E17" s="15">
        <v>423.05</v>
      </c>
      <c r="F17" s="16">
        <v>2.4799999999999999E-2</v>
      </c>
      <c r="G17" s="75"/>
    </row>
    <row r="18" spans="1:7" x14ac:dyDescent="0.25">
      <c r="A18" s="74" t="s">
        <v>714</v>
      </c>
      <c r="B18" s="31" t="s">
        <v>715</v>
      </c>
      <c r="C18" s="31" t="s">
        <v>555</v>
      </c>
      <c r="D18" s="14">
        <v>35013</v>
      </c>
      <c r="E18" s="15">
        <v>373.15</v>
      </c>
      <c r="F18" s="16">
        <v>2.1899999999999999E-2</v>
      </c>
      <c r="G18" s="75"/>
    </row>
    <row r="19" spans="1:7" x14ac:dyDescent="0.25">
      <c r="A19" s="74" t="s">
        <v>799</v>
      </c>
      <c r="B19" s="31" t="s">
        <v>800</v>
      </c>
      <c r="C19" s="31" t="s">
        <v>555</v>
      </c>
      <c r="D19" s="14">
        <v>12614</v>
      </c>
      <c r="E19" s="15">
        <v>352.18</v>
      </c>
      <c r="F19" s="16">
        <v>2.06E-2</v>
      </c>
      <c r="G19" s="75"/>
    </row>
    <row r="20" spans="1:7" x14ac:dyDescent="0.25">
      <c r="A20" s="74" t="s">
        <v>588</v>
      </c>
      <c r="B20" s="31" t="s">
        <v>589</v>
      </c>
      <c r="C20" s="31" t="s">
        <v>555</v>
      </c>
      <c r="D20" s="14">
        <v>104624</v>
      </c>
      <c r="E20" s="15">
        <v>351.12</v>
      </c>
      <c r="F20" s="16">
        <v>2.06E-2</v>
      </c>
      <c r="G20" s="75"/>
    </row>
    <row r="21" spans="1:7" x14ac:dyDescent="0.25">
      <c r="A21" s="74" t="s">
        <v>1239</v>
      </c>
      <c r="B21" s="31" t="s">
        <v>1240</v>
      </c>
      <c r="C21" s="31" t="s">
        <v>573</v>
      </c>
      <c r="D21" s="14">
        <v>112782</v>
      </c>
      <c r="E21" s="15">
        <v>327.52</v>
      </c>
      <c r="F21" s="16">
        <v>1.9199999999999998E-2</v>
      </c>
      <c r="G21" s="75"/>
    </row>
    <row r="22" spans="1:7" x14ac:dyDescent="0.25">
      <c r="A22" s="74" t="s">
        <v>1111</v>
      </c>
      <c r="B22" s="31" t="s">
        <v>1112</v>
      </c>
      <c r="C22" s="31" t="s">
        <v>573</v>
      </c>
      <c r="D22" s="14">
        <v>72271</v>
      </c>
      <c r="E22" s="15">
        <v>251.25</v>
      </c>
      <c r="F22" s="16">
        <v>1.47E-2</v>
      </c>
      <c r="G22" s="75"/>
    </row>
    <row r="23" spans="1:7" x14ac:dyDescent="0.25">
      <c r="A23" s="74" t="s">
        <v>793</v>
      </c>
      <c r="B23" s="31" t="s">
        <v>794</v>
      </c>
      <c r="C23" s="31" t="s">
        <v>555</v>
      </c>
      <c r="D23" s="14">
        <v>1324</v>
      </c>
      <c r="E23" s="15">
        <v>234.39</v>
      </c>
      <c r="F23" s="16">
        <v>1.37E-2</v>
      </c>
      <c r="G23" s="75"/>
    </row>
    <row r="24" spans="1:7" x14ac:dyDescent="0.25">
      <c r="A24" s="74" t="s">
        <v>1269</v>
      </c>
      <c r="B24" s="31" t="s">
        <v>1270</v>
      </c>
      <c r="C24" s="31" t="s">
        <v>573</v>
      </c>
      <c r="D24" s="14">
        <v>8250</v>
      </c>
      <c r="E24" s="15">
        <v>215.38</v>
      </c>
      <c r="F24" s="16">
        <v>1.26E-2</v>
      </c>
      <c r="G24" s="75"/>
    </row>
    <row r="25" spans="1:7" x14ac:dyDescent="0.25">
      <c r="A25" s="74" t="s">
        <v>773</v>
      </c>
      <c r="B25" s="31" t="s">
        <v>774</v>
      </c>
      <c r="C25" s="31" t="s">
        <v>573</v>
      </c>
      <c r="D25" s="14">
        <v>29623</v>
      </c>
      <c r="E25" s="15">
        <v>177.03</v>
      </c>
      <c r="F25" s="16">
        <v>1.04E-2</v>
      </c>
      <c r="G25" s="75"/>
    </row>
    <row r="26" spans="1:7" x14ac:dyDescent="0.25">
      <c r="A26" s="74" t="s">
        <v>1283</v>
      </c>
      <c r="B26" s="31" t="s">
        <v>1284</v>
      </c>
      <c r="C26" s="31" t="s">
        <v>555</v>
      </c>
      <c r="D26" s="14">
        <v>22598</v>
      </c>
      <c r="E26" s="15">
        <v>170.87</v>
      </c>
      <c r="F26" s="16">
        <v>0.01</v>
      </c>
      <c r="G26" s="75"/>
    </row>
    <row r="27" spans="1:7" x14ac:dyDescent="0.25">
      <c r="A27" s="74" t="s">
        <v>797</v>
      </c>
      <c r="B27" s="31" t="s">
        <v>798</v>
      </c>
      <c r="C27" s="31" t="s">
        <v>555</v>
      </c>
      <c r="D27" s="14">
        <v>35292</v>
      </c>
      <c r="E27" s="15">
        <v>155.99</v>
      </c>
      <c r="F27" s="16">
        <v>9.1000000000000004E-3</v>
      </c>
      <c r="G27" s="75"/>
    </row>
    <row r="28" spans="1:7" x14ac:dyDescent="0.25">
      <c r="A28" s="74" t="s">
        <v>1287</v>
      </c>
      <c r="B28" s="31" t="s">
        <v>1288</v>
      </c>
      <c r="C28" s="31" t="s">
        <v>555</v>
      </c>
      <c r="D28" s="14">
        <v>2019</v>
      </c>
      <c r="E28" s="15">
        <v>151.41</v>
      </c>
      <c r="F28" s="16">
        <v>8.8999999999999999E-3</v>
      </c>
      <c r="G28" s="75"/>
    </row>
    <row r="29" spans="1:7" x14ac:dyDescent="0.25">
      <c r="A29" s="74" t="s">
        <v>763</v>
      </c>
      <c r="B29" s="31" t="s">
        <v>764</v>
      </c>
      <c r="C29" s="31" t="s">
        <v>555</v>
      </c>
      <c r="D29" s="14">
        <v>3408</v>
      </c>
      <c r="E29" s="15">
        <v>148.18</v>
      </c>
      <c r="F29" s="16">
        <v>8.6999999999999994E-3</v>
      </c>
      <c r="G29" s="75"/>
    </row>
    <row r="30" spans="1:7" x14ac:dyDescent="0.25">
      <c r="A30" s="74" t="s">
        <v>1030</v>
      </c>
      <c r="B30" s="31" t="s">
        <v>1031</v>
      </c>
      <c r="C30" s="31" t="s">
        <v>555</v>
      </c>
      <c r="D30" s="14">
        <v>8458</v>
      </c>
      <c r="E30" s="15">
        <v>140.99</v>
      </c>
      <c r="F30" s="16">
        <v>8.3000000000000001E-3</v>
      </c>
      <c r="G30" s="75"/>
    </row>
    <row r="31" spans="1:7" x14ac:dyDescent="0.25">
      <c r="A31" s="74" t="s">
        <v>1200</v>
      </c>
      <c r="B31" s="31" t="s">
        <v>1201</v>
      </c>
      <c r="C31" s="31" t="s">
        <v>555</v>
      </c>
      <c r="D31" s="14">
        <v>22187</v>
      </c>
      <c r="E31" s="15">
        <v>137.22</v>
      </c>
      <c r="F31" s="16">
        <v>8.0000000000000002E-3</v>
      </c>
      <c r="G31" s="75"/>
    </row>
    <row r="32" spans="1:7" x14ac:dyDescent="0.25">
      <c r="A32" s="74" t="s">
        <v>571</v>
      </c>
      <c r="B32" s="31" t="s">
        <v>572</v>
      </c>
      <c r="C32" s="31" t="s">
        <v>573</v>
      </c>
      <c r="D32" s="14">
        <v>6359</v>
      </c>
      <c r="E32" s="15">
        <v>129.44999999999999</v>
      </c>
      <c r="F32" s="16">
        <v>7.6E-3</v>
      </c>
      <c r="G32" s="75"/>
    </row>
    <row r="33" spans="1:7" x14ac:dyDescent="0.25">
      <c r="A33" s="74" t="s">
        <v>1311</v>
      </c>
      <c r="B33" s="31" t="s">
        <v>1312</v>
      </c>
      <c r="C33" s="31" t="s">
        <v>555</v>
      </c>
      <c r="D33" s="14">
        <v>6469</v>
      </c>
      <c r="E33" s="15">
        <v>117.14</v>
      </c>
      <c r="F33" s="16">
        <v>6.8999999999999999E-3</v>
      </c>
      <c r="G33" s="75"/>
    </row>
    <row r="34" spans="1:7" x14ac:dyDescent="0.25">
      <c r="A34" s="74" t="s">
        <v>704</v>
      </c>
      <c r="B34" s="31" t="s">
        <v>705</v>
      </c>
      <c r="C34" s="31" t="s">
        <v>555</v>
      </c>
      <c r="D34" s="14">
        <v>14664</v>
      </c>
      <c r="E34" s="15">
        <v>108.75</v>
      </c>
      <c r="F34" s="16">
        <v>6.4000000000000003E-3</v>
      </c>
      <c r="G34" s="75"/>
    </row>
    <row r="35" spans="1:7" x14ac:dyDescent="0.25">
      <c r="A35" s="76" t="s">
        <v>90</v>
      </c>
      <c r="B35" s="32"/>
      <c r="C35" s="32"/>
      <c r="D35" s="18"/>
      <c r="E35" s="35">
        <f>SUM(E10:E34)</f>
        <v>11898.89</v>
      </c>
      <c r="F35" s="36">
        <f>SUM(F10:F34)</f>
        <v>0.69710000000000005</v>
      </c>
      <c r="G35" s="77"/>
    </row>
    <row r="36" spans="1:7" x14ac:dyDescent="0.25">
      <c r="A36" s="76" t="s">
        <v>815</v>
      </c>
      <c r="B36" s="31"/>
      <c r="C36" s="31"/>
      <c r="D36" s="14"/>
      <c r="E36" s="15"/>
      <c r="F36" s="16"/>
      <c r="G36" s="75"/>
    </row>
    <row r="37" spans="1:7" x14ac:dyDescent="0.25">
      <c r="A37" s="76" t="s">
        <v>90</v>
      </c>
      <c r="B37" s="31"/>
      <c r="C37" s="31"/>
      <c r="D37" s="14"/>
      <c r="E37" s="37" t="s">
        <v>85</v>
      </c>
      <c r="F37" s="38" t="s">
        <v>85</v>
      </c>
      <c r="G37" s="75"/>
    </row>
    <row r="38" spans="1:7" x14ac:dyDescent="0.25">
      <c r="A38" s="76"/>
      <c r="B38" s="31"/>
      <c r="C38" s="31"/>
      <c r="D38" s="14"/>
      <c r="E38" s="52"/>
      <c r="F38" s="53"/>
      <c r="G38" s="75"/>
    </row>
    <row r="39" spans="1:7" x14ac:dyDescent="0.25">
      <c r="A39" s="76" t="s">
        <v>1423</v>
      </c>
      <c r="B39" s="31"/>
      <c r="C39" s="31"/>
      <c r="D39" s="14"/>
      <c r="E39" s="14"/>
      <c r="F39" s="14"/>
      <c r="G39" s="75"/>
    </row>
    <row r="40" spans="1:7" x14ac:dyDescent="0.25">
      <c r="A40" s="76" t="s">
        <v>1611</v>
      </c>
      <c r="B40" s="31"/>
      <c r="C40" s="31"/>
      <c r="D40" s="14"/>
      <c r="E40" s="14"/>
      <c r="F40" s="14"/>
      <c r="G40" s="75"/>
    </row>
    <row r="41" spans="1:7" x14ac:dyDescent="0.25">
      <c r="A41" s="74" t="s">
        <v>1427</v>
      </c>
      <c r="B41" s="31" t="s">
        <v>1428</v>
      </c>
      <c r="C41" s="31" t="s">
        <v>1429</v>
      </c>
      <c r="D41" s="14">
        <v>5727</v>
      </c>
      <c r="E41" s="15">
        <v>769.44</v>
      </c>
      <c r="F41" s="16">
        <v>4.5100000000000001E-2</v>
      </c>
      <c r="G41" s="75"/>
    </row>
    <row r="42" spans="1:7" x14ac:dyDescent="0.25">
      <c r="A42" s="74" t="s">
        <v>1430</v>
      </c>
      <c r="B42" s="31" t="s">
        <v>1431</v>
      </c>
      <c r="C42" s="31" t="s">
        <v>1429</v>
      </c>
      <c r="D42" s="14">
        <v>12209</v>
      </c>
      <c r="E42" s="15">
        <v>479.15</v>
      </c>
      <c r="F42" s="16">
        <v>2.81E-2</v>
      </c>
      <c r="G42" s="75"/>
    </row>
    <row r="43" spans="1:7" x14ac:dyDescent="0.25">
      <c r="A43" s="74" t="s">
        <v>1432</v>
      </c>
      <c r="B43" s="31" t="s">
        <v>1433</v>
      </c>
      <c r="C43" s="31" t="s">
        <v>1434</v>
      </c>
      <c r="D43" s="14">
        <v>3846</v>
      </c>
      <c r="E43" s="15">
        <v>472.64</v>
      </c>
      <c r="F43" s="16">
        <v>2.7699999999999999E-2</v>
      </c>
      <c r="G43" s="75"/>
    </row>
    <row r="44" spans="1:7" x14ac:dyDescent="0.25">
      <c r="A44" s="74" t="s">
        <v>1435</v>
      </c>
      <c r="B44" s="31" t="s">
        <v>1436</v>
      </c>
      <c r="C44" s="31" t="s">
        <v>1437</v>
      </c>
      <c r="D44" s="14">
        <v>857</v>
      </c>
      <c r="E44" s="15">
        <v>383.73</v>
      </c>
      <c r="F44" s="16">
        <v>2.2499999999999999E-2</v>
      </c>
      <c r="G44" s="75"/>
    </row>
    <row r="45" spans="1:7" x14ac:dyDescent="0.25">
      <c r="A45" s="74" t="s">
        <v>1438</v>
      </c>
      <c r="B45" s="31" t="s">
        <v>1439</v>
      </c>
      <c r="C45" s="31" t="s">
        <v>1440</v>
      </c>
      <c r="D45" s="14">
        <v>3846</v>
      </c>
      <c r="E45" s="15">
        <v>345.08</v>
      </c>
      <c r="F45" s="16">
        <v>2.0199999999999999E-2</v>
      </c>
      <c r="G45" s="75"/>
    </row>
    <row r="46" spans="1:7" x14ac:dyDescent="0.25">
      <c r="A46" s="74" t="s">
        <v>1441</v>
      </c>
      <c r="B46" s="31" t="s">
        <v>1442</v>
      </c>
      <c r="C46" s="31" t="s">
        <v>1429</v>
      </c>
      <c r="D46" s="14">
        <v>5495</v>
      </c>
      <c r="E46" s="15">
        <v>341.79</v>
      </c>
      <c r="F46" s="16">
        <v>0.02</v>
      </c>
      <c r="G46" s="75"/>
    </row>
    <row r="47" spans="1:7" x14ac:dyDescent="0.25">
      <c r="A47" s="74" t="s">
        <v>1443</v>
      </c>
      <c r="B47" s="31" t="s">
        <v>1444</v>
      </c>
      <c r="C47" s="31" t="s">
        <v>1429</v>
      </c>
      <c r="D47" s="14">
        <v>4766</v>
      </c>
      <c r="E47" s="15">
        <v>317.04000000000002</v>
      </c>
      <c r="F47" s="16">
        <v>1.8599999999999998E-2</v>
      </c>
      <c r="G47" s="75"/>
    </row>
    <row r="48" spans="1:7" x14ac:dyDescent="0.25">
      <c r="A48" s="74" t="s">
        <v>1445</v>
      </c>
      <c r="B48" s="31" t="s">
        <v>1446</v>
      </c>
      <c r="C48" s="31" t="s">
        <v>1440</v>
      </c>
      <c r="D48" s="14">
        <v>1400</v>
      </c>
      <c r="E48" s="15">
        <v>311.31</v>
      </c>
      <c r="F48" s="16">
        <v>1.8200000000000001E-2</v>
      </c>
      <c r="G48" s="75"/>
    </row>
    <row r="49" spans="1:7" x14ac:dyDescent="0.25">
      <c r="A49" s="74" t="s">
        <v>1447</v>
      </c>
      <c r="B49" s="31" t="s">
        <v>1448</v>
      </c>
      <c r="C49" s="31" t="s">
        <v>1429</v>
      </c>
      <c r="D49" s="14">
        <v>4829</v>
      </c>
      <c r="E49" s="15">
        <v>267.33999999999997</v>
      </c>
      <c r="F49" s="16">
        <v>1.5699999999999999E-2</v>
      </c>
      <c r="G49" s="75"/>
    </row>
    <row r="50" spans="1:7" x14ac:dyDescent="0.25">
      <c r="A50" s="74" t="s">
        <v>1451</v>
      </c>
      <c r="B50" s="31" t="s">
        <v>1452</v>
      </c>
      <c r="C50" s="31" t="s">
        <v>1434</v>
      </c>
      <c r="D50" s="14">
        <v>1226</v>
      </c>
      <c r="E50" s="15">
        <v>224.75</v>
      </c>
      <c r="F50" s="16">
        <v>1.32E-2</v>
      </c>
      <c r="G50" s="75"/>
    </row>
    <row r="51" spans="1:7" x14ac:dyDescent="0.25">
      <c r="A51" s="74" t="s">
        <v>1453</v>
      </c>
      <c r="B51" s="31" t="s">
        <v>1454</v>
      </c>
      <c r="C51" s="31" t="s">
        <v>1440</v>
      </c>
      <c r="D51" s="14">
        <v>776</v>
      </c>
      <c r="E51" s="15">
        <v>177.47</v>
      </c>
      <c r="F51" s="16">
        <v>1.04E-2</v>
      </c>
      <c r="G51" s="75"/>
    </row>
    <row r="52" spans="1:7" x14ac:dyDescent="0.25">
      <c r="A52" s="74" t="s">
        <v>1455</v>
      </c>
      <c r="B52" s="31" t="s">
        <v>1456</v>
      </c>
      <c r="C52" s="31" t="s">
        <v>1440</v>
      </c>
      <c r="D52" s="14">
        <v>738</v>
      </c>
      <c r="E52" s="15">
        <v>149.57</v>
      </c>
      <c r="F52" s="16">
        <v>8.8000000000000005E-3</v>
      </c>
      <c r="G52" s="75"/>
    </row>
    <row r="53" spans="1:7" x14ac:dyDescent="0.25">
      <c r="A53" s="74" t="s">
        <v>1457</v>
      </c>
      <c r="B53" s="31" t="s">
        <v>1458</v>
      </c>
      <c r="C53" s="31" t="s">
        <v>1440</v>
      </c>
      <c r="D53" s="14">
        <v>618</v>
      </c>
      <c r="E53" s="15">
        <v>124.62</v>
      </c>
      <c r="F53" s="16">
        <v>7.3000000000000001E-3</v>
      </c>
      <c r="G53" s="75"/>
    </row>
    <row r="54" spans="1:7" x14ac:dyDescent="0.25">
      <c r="A54" s="74" t="s">
        <v>1459</v>
      </c>
      <c r="B54" s="31" t="s">
        <v>1460</v>
      </c>
      <c r="C54" s="31" t="s">
        <v>1434</v>
      </c>
      <c r="D54" s="14">
        <v>2729</v>
      </c>
      <c r="E54" s="15">
        <v>122.99</v>
      </c>
      <c r="F54" s="16">
        <v>7.1999999999999998E-3</v>
      </c>
      <c r="G54" s="75"/>
    </row>
    <row r="55" spans="1:7" x14ac:dyDescent="0.25">
      <c r="A55" s="74" t="s">
        <v>1461</v>
      </c>
      <c r="B55" s="31" t="s">
        <v>1462</v>
      </c>
      <c r="C55" s="31" t="s">
        <v>1434</v>
      </c>
      <c r="D55" s="14">
        <v>554</v>
      </c>
      <c r="E55" s="15">
        <v>109.6</v>
      </c>
      <c r="F55" s="16">
        <v>6.4000000000000003E-3</v>
      </c>
      <c r="G55" s="75"/>
    </row>
    <row r="56" spans="1:7" x14ac:dyDescent="0.25">
      <c r="A56" s="74" t="s">
        <v>1463</v>
      </c>
      <c r="B56" s="31" t="s">
        <v>1464</v>
      </c>
      <c r="C56" s="31" t="s">
        <v>1465</v>
      </c>
      <c r="D56" s="14">
        <v>750</v>
      </c>
      <c r="E56" s="15">
        <v>97.94</v>
      </c>
      <c r="F56" s="16">
        <v>5.7000000000000002E-3</v>
      </c>
      <c r="G56" s="75"/>
    </row>
    <row r="57" spans="1:7" x14ac:dyDescent="0.25">
      <c r="A57" s="74" t="s">
        <v>1466</v>
      </c>
      <c r="B57" s="31" t="s">
        <v>1467</v>
      </c>
      <c r="C57" s="31" t="s">
        <v>1437</v>
      </c>
      <c r="D57" s="14">
        <v>324</v>
      </c>
      <c r="E57" s="15">
        <v>85.82</v>
      </c>
      <c r="F57" s="16">
        <v>5.0000000000000001E-3</v>
      </c>
      <c r="G57" s="75"/>
    </row>
    <row r="58" spans="1:7" x14ac:dyDescent="0.25">
      <c r="A58" s="74" t="s">
        <v>1468</v>
      </c>
      <c r="B58" s="31" t="s">
        <v>1469</v>
      </c>
      <c r="C58" s="31" t="s">
        <v>1437</v>
      </c>
      <c r="D58" s="14">
        <v>416</v>
      </c>
      <c r="E58" s="15">
        <v>72.91</v>
      </c>
      <c r="F58" s="16">
        <v>4.3E-3</v>
      </c>
      <c r="G58" s="75"/>
    </row>
    <row r="59" spans="1:7" x14ac:dyDescent="0.25">
      <c r="A59" s="74" t="s">
        <v>1470</v>
      </c>
      <c r="B59" s="31" t="s">
        <v>1471</v>
      </c>
      <c r="C59" s="31" t="s">
        <v>1437</v>
      </c>
      <c r="D59" s="14">
        <v>657</v>
      </c>
      <c r="E59" s="15">
        <v>65.91</v>
      </c>
      <c r="F59" s="16">
        <v>3.8999999999999998E-3</v>
      </c>
      <c r="G59" s="75"/>
    </row>
    <row r="60" spans="1:7" x14ac:dyDescent="0.25">
      <c r="A60" s="74" t="s">
        <v>1449</v>
      </c>
      <c r="B60" s="31" t="s">
        <v>1450</v>
      </c>
      <c r="C60" s="31" t="s">
        <v>1440</v>
      </c>
      <c r="D60" s="14">
        <v>2925</v>
      </c>
      <c r="E60" s="15">
        <v>246.02</v>
      </c>
      <c r="F60" s="16">
        <v>1.44E-2</v>
      </c>
      <c r="G60" s="75"/>
    </row>
    <row r="61" spans="1:7" x14ac:dyDescent="0.25">
      <c r="A61" s="76" t="s">
        <v>90</v>
      </c>
      <c r="B61" s="32"/>
      <c r="C61" s="32"/>
      <c r="D61" s="18"/>
      <c r="E61" s="35">
        <f>SUM(E41:E60)</f>
        <v>5165.119999999999</v>
      </c>
      <c r="F61" s="36">
        <f>SUM(F41:F60)</f>
        <v>0.30270000000000002</v>
      </c>
      <c r="G61" s="75"/>
    </row>
    <row r="62" spans="1:7" x14ac:dyDescent="0.25">
      <c r="A62" s="76"/>
      <c r="B62" s="31"/>
      <c r="C62" s="31"/>
      <c r="D62" s="14"/>
      <c r="E62" s="48"/>
      <c r="F62" s="49"/>
      <c r="G62" s="75"/>
    </row>
    <row r="63" spans="1:7" x14ac:dyDescent="0.25">
      <c r="A63" s="78" t="s">
        <v>93</v>
      </c>
      <c r="B63" s="79"/>
      <c r="C63" s="79"/>
      <c r="D63" s="80"/>
      <c r="E63" s="28">
        <v>17064.009999999998</v>
      </c>
      <c r="F63" s="29">
        <v>0.99980000000000002</v>
      </c>
      <c r="G63" s="77"/>
    </row>
    <row r="64" spans="1:7" x14ac:dyDescent="0.25">
      <c r="A64" s="74"/>
      <c r="B64" s="31"/>
      <c r="C64" s="31"/>
      <c r="D64" s="14"/>
      <c r="E64" s="15"/>
      <c r="F64" s="16"/>
      <c r="G64" s="75"/>
    </row>
    <row r="65" spans="1:7" x14ac:dyDescent="0.25">
      <c r="A65" s="76" t="s">
        <v>110</v>
      </c>
      <c r="B65" s="31"/>
      <c r="C65" s="31"/>
      <c r="D65" s="14"/>
      <c r="E65" s="15"/>
      <c r="F65" s="16"/>
      <c r="G65" s="75"/>
    </row>
    <row r="66" spans="1:7" x14ac:dyDescent="0.25">
      <c r="A66" s="74" t="s">
        <v>111</v>
      </c>
      <c r="B66" s="31"/>
      <c r="C66" s="31"/>
      <c r="D66" s="14"/>
      <c r="E66" s="15">
        <v>46.98</v>
      </c>
      <c r="F66" s="16">
        <v>2.8E-3</v>
      </c>
      <c r="G66" s="75">
        <v>3.5790000000000002E-2</v>
      </c>
    </row>
    <row r="67" spans="1:7" x14ac:dyDescent="0.25">
      <c r="A67" s="76" t="s">
        <v>90</v>
      </c>
      <c r="B67" s="32"/>
      <c r="C67" s="32"/>
      <c r="D67" s="18"/>
      <c r="E67" s="35">
        <v>46.98</v>
      </c>
      <c r="F67" s="36">
        <v>2.8E-3</v>
      </c>
      <c r="G67" s="77"/>
    </row>
    <row r="68" spans="1:7" x14ac:dyDescent="0.25">
      <c r="A68" s="74"/>
      <c r="B68" s="31"/>
      <c r="C68" s="31"/>
      <c r="D68" s="14"/>
      <c r="E68" s="15"/>
      <c r="F68" s="16"/>
      <c r="G68" s="75"/>
    </row>
    <row r="69" spans="1:7" x14ac:dyDescent="0.25">
      <c r="A69" s="78" t="s">
        <v>93</v>
      </c>
      <c r="B69" s="79"/>
      <c r="C69" s="79"/>
      <c r="D69" s="80"/>
      <c r="E69" s="35">
        <v>46.98</v>
      </c>
      <c r="F69" s="36">
        <v>2.8E-3</v>
      </c>
      <c r="G69" s="77"/>
    </row>
    <row r="70" spans="1:7" x14ac:dyDescent="0.25">
      <c r="A70" s="74" t="s">
        <v>112</v>
      </c>
      <c r="B70" s="31"/>
      <c r="C70" s="31"/>
      <c r="D70" s="14"/>
      <c r="E70" s="15">
        <v>4.6068000000000003E-3</v>
      </c>
      <c r="F70" s="53" t="s">
        <v>2022</v>
      </c>
      <c r="G70" s="75"/>
    </row>
    <row r="71" spans="1:7" x14ac:dyDescent="0.25">
      <c r="A71" s="74" t="s">
        <v>113</v>
      </c>
      <c r="B71" s="31"/>
      <c r="C71" s="31"/>
      <c r="D71" s="14"/>
      <c r="E71" s="24">
        <v>-40.3146068</v>
      </c>
      <c r="F71" s="25">
        <v>-2.5999999999999999E-3</v>
      </c>
      <c r="G71" s="75">
        <v>3.5790000000000002E-2</v>
      </c>
    </row>
    <row r="72" spans="1:7" x14ac:dyDescent="0.25">
      <c r="A72" s="81" t="s">
        <v>114</v>
      </c>
      <c r="B72" s="34"/>
      <c r="C72" s="34"/>
      <c r="D72" s="27"/>
      <c r="E72" s="28">
        <v>17070.68</v>
      </c>
      <c r="F72" s="29">
        <v>1</v>
      </c>
      <c r="G72" s="82"/>
    </row>
    <row r="73" spans="1:7" x14ac:dyDescent="0.25">
      <c r="A73" s="54"/>
      <c r="B73" s="56"/>
      <c r="C73" s="56"/>
      <c r="D73" s="56"/>
      <c r="E73" s="56"/>
      <c r="F73" s="56"/>
      <c r="G73" s="66"/>
    </row>
    <row r="74" spans="1:7" x14ac:dyDescent="0.25">
      <c r="A74" s="83" t="s">
        <v>2023</v>
      </c>
      <c r="B74" s="56"/>
      <c r="C74" s="56"/>
      <c r="D74" s="56"/>
      <c r="E74" s="56"/>
      <c r="F74" s="56"/>
      <c r="G74" s="66"/>
    </row>
    <row r="75" spans="1:7" x14ac:dyDescent="0.25">
      <c r="A75" s="54"/>
      <c r="B75" s="56"/>
      <c r="C75" s="56"/>
      <c r="D75" s="56"/>
      <c r="E75" s="56"/>
      <c r="F75" s="56"/>
      <c r="G75" s="66"/>
    </row>
    <row r="76" spans="1:7" x14ac:dyDescent="0.25">
      <c r="A76" s="83" t="s">
        <v>1476</v>
      </c>
      <c r="B76" s="56"/>
      <c r="C76" s="56"/>
      <c r="D76" s="56"/>
      <c r="E76" s="56"/>
      <c r="F76" s="56"/>
      <c r="G76" s="66"/>
    </row>
    <row r="77" spans="1:7" x14ac:dyDescent="0.25">
      <c r="A77" s="84" t="s">
        <v>1477</v>
      </c>
      <c r="B77" s="85" t="s">
        <v>85</v>
      </c>
      <c r="C77" s="56"/>
      <c r="D77" s="56"/>
      <c r="E77" s="56"/>
      <c r="F77" s="56"/>
      <c r="G77" s="66"/>
    </row>
    <row r="78" spans="1:7" x14ac:dyDescent="0.25">
      <c r="A78" s="54" t="s">
        <v>1626</v>
      </c>
      <c r="B78" s="56"/>
      <c r="C78" s="56"/>
      <c r="D78" s="56"/>
      <c r="E78" s="56"/>
      <c r="F78" s="56"/>
      <c r="G78" s="66"/>
    </row>
    <row r="79" spans="1:7" x14ac:dyDescent="0.25">
      <c r="A79" s="54" t="s">
        <v>1478</v>
      </c>
      <c r="B79" s="85" t="s">
        <v>1479</v>
      </c>
      <c r="C79" s="85" t="s">
        <v>1479</v>
      </c>
      <c r="D79" s="56"/>
      <c r="E79" s="56"/>
      <c r="F79" s="56"/>
      <c r="G79" s="66"/>
    </row>
    <row r="80" spans="1:7" x14ac:dyDescent="0.25">
      <c r="A80" s="54"/>
      <c r="B80" s="86">
        <v>44469</v>
      </c>
      <c r="C80" s="86">
        <v>44651</v>
      </c>
      <c r="D80" s="56"/>
      <c r="E80" s="56"/>
      <c r="F80" s="56"/>
      <c r="G80" s="66"/>
    </row>
    <row r="81" spans="1:7" x14ac:dyDescent="0.25">
      <c r="A81" s="54" t="s">
        <v>1483</v>
      </c>
      <c r="B81" s="56">
        <v>12.6943</v>
      </c>
      <c r="C81" s="56">
        <v>12.5345</v>
      </c>
      <c r="D81" s="56"/>
      <c r="E81" s="59"/>
      <c r="F81" s="56"/>
      <c r="G81" s="87"/>
    </row>
    <row r="82" spans="1:7" x14ac:dyDescent="0.25">
      <c r="A82" s="54" t="s">
        <v>1484</v>
      </c>
      <c r="B82" s="56">
        <v>12.6943</v>
      </c>
      <c r="C82" s="56">
        <v>12.5345</v>
      </c>
      <c r="D82" s="56"/>
      <c r="E82" s="59"/>
      <c r="F82" s="56"/>
      <c r="G82" s="87"/>
    </row>
    <row r="83" spans="1:7" x14ac:dyDescent="0.25">
      <c r="A83" s="54" t="s">
        <v>1503</v>
      </c>
      <c r="B83" s="56">
        <v>12.6212</v>
      </c>
      <c r="C83" s="56">
        <v>12.427199999999999</v>
      </c>
      <c r="D83" s="56"/>
      <c r="E83" s="59"/>
      <c r="F83" s="56"/>
      <c r="G83" s="87"/>
    </row>
    <row r="84" spans="1:7" x14ac:dyDescent="0.25">
      <c r="A84" s="54" t="s">
        <v>1504</v>
      </c>
      <c r="B84" s="56">
        <v>12.6212</v>
      </c>
      <c r="C84" s="56">
        <v>12.427199999999999</v>
      </c>
      <c r="D84" s="56"/>
      <c r="E84" s="59"/>
      <c r="F84" s="56"/>
      <c r="G84" s="87"/>
    </row>
    <row r="85" spans="1:7" x14ac:dyDescent="0.25">
      <c r="A85" s="54"/>
      <c r="B85" s="56"/>
      <c r="C85" s="56"/>
      <c r="D85" s="56"/>
      <c r="E85" s="59"/>
      <c r="F85" s="56"/>
      <c r="G85" s="87"/>
    </row>
    <row r="86" spans="1:7" x14ac:dyDescent="0.25">
      <c r="A86" s="54" t="s">
        <v>2006</v>
      </c>
      <c r="B86" s="85" t="s">
        <v>85</v>
      </c>
      <c r="C86" s="56"/>
      <c r="D86" s="56"/>
      <c r="E86" s="56"/>
      <c r="F86" s="56"/>
      <c r="G86" s="66"/>
    </row>
    <row r="87" spans="1:7" x14ac:dyDescent="0.25">
      <c r="A87" s="54" t="s">
        <v>2008</v>
      </c>
      <c r="B87" s="85" t="s">
        <v>85</v>
      </c>
      <c r="C87" s="56"/>
      <c r="D87" s="56"/>
      <c r="E87" s="56"/>
      <c r="F87" s="56"/>
      <c r="G87" s="66"/>
    </row>
    <row r="88" spans="1:7" ht="18" customHeight="1" x14ac:dyDescent="0.25">
      <c r="A88" s="84" t="s">
        <v>2009</v>
      </c>
      <c r="B88" s="85" t="s">
        <v>85</v>
      </c>
      <c r="C88" s="56"/>
      <c r="D88" s="56"/>
      <c r="E88" s="56"/>
      <c r="F88" s="56"/>
      <c r="G88" s="66"/>
    </row>
    <row r="89" spans="1:7" x14ac:dyDescent="0.25">
      <c r="A89" s="84" t="s">
        <v>2010</v>
      </c>
      <c r="B89" s="85">
        <v>5165.119999999999</v>
      </c>
      <c r="C89" s="56"/>
      <c r="D89" s="56"/>
      <c r="E89" s="56"/>
      <c r="F89" s="56"/>
      <c r="G89" s="66"/>
    </row>
    <row r="90" spans="1:7" ht="30" x14ac:dyDescent="0.25">
      <c r="A90" s="84" t="s">
        <v>2012</v>
      </c>
      <c r="B90" s="85" t="s">
        <v>85</v>
      </c>
      <c r="C90" s="56"/>
      <c r="D90" s="56"/>
      <c r="E90" s="56"/>
      <c r="F90" s="56"/>
      <c r="G90" s="66"/>
    </row>
    <row r="91" spans="1:7" ht="30" x14ac:dyDescent="0.25">
      <c r="A91" s="84" t="s">
        <v>1561</v>
      </c>
      <c r="B91" s="85" t="s">
        <v>85</v>
      </c>
      <c r="C91" s="56"/>
      <c r="D91" s="56"/>
      <c r="E91" s="56"/>
      <c r="F91" s="56"/>
      <c r="G91" s="66"/>
    </row>
    <row r="92" spans="1:7" x14ac:dyDescent="0.25">
      <c r="A92" s="84" t="s">
        <v>2038</v>
      </c>
      <c r="B92" s="85" t="s">
        <v>85</v>
      </c>
      <c r="C92" s="56"/>
      <c r="D92" s="56"/>
      <c r="E92" s="56"/>
      <c r="F92" s="56"/>
      <c r="G92" s="66"/>
    </row>
    <row r="93" spans="1:7" x14ac:dyDescent="0.25">
      <c r="A93" s="54" t="s">
        <v>2039</v>
      </c>
      <c r="B93" s="85" t="s">
        <v>85</v>
      </c>
      <c r="C93" s="56"/>
      <c r="D93" s="56"/>
      <c r="E93" s="56"/>
      <c r="F93" s="56"/>
      <c r="G93" s="66"/>
    </row>
    <row r="94" spans="1:7" x14ac:dyDescent="0.25">
      <c r="A94" s="54"/>
      <c r="B94" s="85"/>
      <c r="C94" s="56"/>
      <c r="D94" s="56"/>
      <c r="E94" s="56"/>
      <c r="F94" s="56"/>
      <c r="G94" s="66"/>
    </row>
    <row r="95" spans="1:7" ht="15.75" thickBot="1" x14ac:dyDescent="0.3">
      <c r="A95" s="89"/>
      <c r="B95" s="90"/>
      <c r="C95" s="90"/>
      <c r="D95" s="90"/>
      <c r="E95" s="90"/>
      <c r="F95" s="90"/>
      <c r="G95" s="91"/>
    </row>
    <row r="97" spans="1:4" ht="30" x14ac:dyDescent="0.25">
      <c r="A97" s="107" t="s">
        <v>2042</v>
      </c>
      <c r="B97" s="108" t="s">
        <v>2043</v>
      </c>
      <c r="C97" s="108" t="s">
        <v>2044</v>
      </c>
      <c r="D97" s="109" t="s">
        <v>2045</v>
      </c>
    </row>
    <row r="98" spans="1:4" ht="45" customHeight="1" x14ac:dyDescent="0.25">
      <c r="A98" s="110" t="str">
        <f>HYPERLINK("[EDEL_Portfolio Monthly 31-Mar-2022.xlsx]EODWHF!A1","Edelweiss MSCI (I) DM &amp; WD HC 45 ID Fund")</f>
        <v>Edelweiss MSCI (I) DM &amp; WD HC 45 ID Fund</v>
      </c>
      <c r="B98" s="111"/>
      <c r="C98" s="112" t="s">
        <v>2077</v>
      </c>
      <c r="D98" s="111"/>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48"/>
  <sheetViews>
    <sheetView showGridLines="0" workbookViewId="0">
      <pane ySplit="6" topLeftCell="A7"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76</v>
      </c>
      <c r="B3" s="139"/>
      <c r="C3" s="139"/>
      <c r="D3" s="139"/>
      <c r="E3" s="139"/>
      <c r="F3" s="139"/>
      <c r="G3" s="140"/>
      <c r="H3" s="46" t="str">
        <f>HYPERLINK("[EDEL_Portfolio HY 31032022.xlsx]Index!A1","Index")</f>
        <v>Index</v>
      </c>
    </row>
    <row r="4" spans="1:8" ht="19.5" customHeight="1" x14ac:dyDescent="0.25">
      <c r="A4" s="141" t="s">
        <v>77</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1423</v>
      </c>
      <c r="B9" s="31"/>
      <c r="C9" s="31"/>
      <c r="D9" s="14"/>
      <c r="E9" s="15"/>
      <c r="F9" s="16"/>
      <c r="G9" s="75"/>
    </row>
    <row r="10" spans="1:8" x14ac:dyDescent="0.25">
      <c r="A10" s="76" t="s">
        <v>1424</v>
      </c>
      <c r="B10" s="32"/>
      <c r="C10" s="32"/>
      <c r="D10" s="18"/>
      <c r="E10" s="42"/>
      <c r="F10" s="21"/>
      <c r="G10" s="77"/>
    </row>
    <row r="11" spans="1:8" x14ac:dyDescent="0.25">
      <c r="A11" s="74" t="s">
        <v>2002</v>
      </c>
      <c r="B11" s="31" t="s">
        <v>1472</v>
      </c>
      <c r="C11" s="31"/>
      <c r="D11" s="14">
        <v>408907.88500000001</v>
      </c>
      <c r="E11" s="15">
        <v>13137.57</v>
      </c>
      <c r="F11" s="16">
        <v>0.98480000000000001</v>
      </c>
      <c r="G11" s="75"/>
    </row>
    <row r="12" spans="1:8" x14ac:dyDescent="0.25">
      <c r="A12" s="76" t="s">
        <v>90</v>
      </c>
      <c r="B12" s="32"/>
      <c r="C12" s="32"/>
      <c r="D12" s="18"/>
      <c r="E12" s="35">
        <v>13137.57</v>
      </c>
      <c r="F12" s="36">
        <v>0.98480000000000001</v>
      </c>
      <c r="G12" s="77"/>
    </row>
    <row r="13" spans="1:8" x14ac:dyDescent="0.25">
      <c r="A13" s="74"/>
      <c r="B13" s="31"/>
      <c r="C13" s="31"/>
      <c r="D13" s="14"/>
      <c r="E13" s="15"/>
      <c r="F13" s="16"/>
      <c r="G13" s="75"/>
    </row>
    <row r="14" spans="1:8" x14ac:dyDescent="0.25">
      <c r="A14" s="78" t="s">
        <v>93</v>
      </c>
      <c r="B14" s="79"/>
      <c r="C14" s="79"/>
      <c r="D14" s="80"/>
      <c r="E14" s="35">
        <v>13137.57</v>
      </c>
      <c r="F14" s="36">
        <v>0.98480000000000001</v>
      </c>
      <c r="G14" s="77"/>
    </row>
    <row r="15" spans="1:8" x14ac:dyDescent="0.25">
      <c r="A15" s="74"/>
      <c r="B15" s="31"/>
      <c r="C15" s="31"/>
      <c r="D15" s="14"/>
      <c r="E15" s="15"/>
      <c r="F15" s="16"/>
      <c r="G15" s="75"/>
    </row>
    <row r="16" spans="1:8" x14ac:dyDescent="0.25">
      <c r="A16" s="76" t="s">
        <v>110</v>
      </c>
      <c r="B16" s="31"/>
      <c r="C16" s="31"/>
      <c r="D16" s="14"/>
      <c r="E16" s="15"/>
      <c r="F16" s="16"/>
      <c r="G16" s="75"/>
    </row>
    <row r="17" spans="1:7" x14ac:dyDescent="0.25">
      <c r="A17" s="74" t="s">
        <v>111</v>
      </c>
      <c r="B17" s="31"/>
      <c r="C17" s="31"/>
      <c r="D17" s="14"/>
      <c r="E17" s="15">
        <v>397.84</v>
      </c>
      <c r="F17" s="16">
        <v>2.98E-2</v>
      </c>
      <c r="G17" s="75">
        <v>3.5790000000000002E-2</v>
      </c>
    </row>
    <row r="18" spans="1:7" x14ac:dyDescent="0.25">
      <c r="A18" s="76" t="s">
        <v>90</v>
      </c>
      <c r="B18" s="32"/>
      <c r="C18" s="32"/>
      <c r="D18" s="18"/>
      <c r="E18" s="35">
        <v>397.84</v>
      </c>
      <c r="F18" s="36">
        <v>2.98E-2</v>
      </c>
      <c r="G18" s="77"/>
    </row>
    <row r="19" spans="1:7" x14ac:dyDescent="0.25">
      <c r="A19" s="74"/>
      <c r="B19" s="31"/>
      <c r="C19" s="31"/>
      <c r="D19" s="14"/>
      <c r="E19" s="15"/>
      <c r="F19" s="16"/>
      <c r="G19" s="75"/>
    </row>
    <row r="20" spans="1:7" x14ac:dyDescent="0.25">
      <c r="A20" s="78" t="s">
        <v>93</v>
      </c>
      <c r="B20" s="79"/>
      <c r="C20" s="79"/>
      <c r="D20" s="80"/>
      <c r="E20" s="35">
        <v>397.84</v>
      </c>
      <c r="F20" s="36">
        <v>2.98E-2</v>
      </c>
      <c r="G20" s="77"/>
    </row>
    <row r="21" spans="1:7" x14ac:dyDescent="0.25">
      <c r="A21" s="74" t="s">
        <v>112</v>
      </c>
      <c r="B21" s="31"/>
      <c r="C21" s="31"/>
      <c r="D21" s="14"/>
      <c r="E21" s="15">
        <v>3.9010499999999997E-2</v>
      </c>
      <c r="F21" s="53" t="s">
        <v>2022</v>
      </c>
      <c r="G21" s="75"/>
    </row>
    <row r="22" spans="1:7" x14ac:dyDescent="0.25">
      <c r="A22" s="74" t="s">
        <v>113</v>
      </c>
      <c r="B22" s="31"/>
      <c r="C22" s="31"/>
      <c r="D22" s="14"/>
      <c r="E22" s="24">
        <v>-195.54901050000001</v>
      </c>
      <c r="F22" s="25">
        <v>-1.4602E-2</v>
      </c>
      <c r="G22" s="75">
        <v>3.5790000000000002E-2</v>
      </c>
    </row>
    <row r="23" spans="1:7" x14ac:dyDescent="0.25">
      <c r="A23" s="81" t="s">
        <v>114</v>
      </c>
      <c r="B23" s="34"/>
      <c r="C23" s="34"/>
      <c r="D23" s="27"/>
      <c r="E23" s="28">
        <v>13339.9</v>
      </c>
      <c r="F23" s="29">
        <v>1</v>
      </c>
      <c r="G23" s="82"/>
    </row>
    <row r="24" spans="1:7" x14ac:dyDescent="0.25">
      <c r="A24" s="54"/>
      <c r="B24" s="56"/>
      <c r="C24" s="56"/>
      <c r="D24" s="56"/>
      <c r="E24" s="56"/>
      <c r="F24" s="56"/>
      <c r="G24" s="66"/>
    </row>
    <row r="25" spans="1:7" x14ac:dyDescent="0.25">
      <c r="A25" s="83" t="s">
        <v>2023</v>
      </c>
      <c r="B25" s="56"/>
      <c r="C25" s="56"/>
      <c r="D25" s="56"/>
      <c r="E25" s="56"/>
      <c r="F25" s="56"/>
      <c r="G25" s="66"/>
    </row>
    <row r="26" spans="1:7" x14ac:dyDescent="0.25">
      <c r="A26" s="54"/>
      <c r="B26" s="56"/>
      <c r="C26" s="56"/>
      <c r="D26" s="56"/>
      <c r="E26" s="56"/>
      <c r="F26" s="56"/>
      <c r="G26" s="66"/>
    </row>
    <row r="27" spans="1:7" x14ac:dyDescent="0.25">
      <c r="A27" s="83" t="s">
        <v>1476</v>
      </c>
      <c r="B27" s="56"/>
      <c r="C27" s="56"/>
      <c r="D27" s="56"/>
      <c r="E27" s="56"/>
      <c r="F27" s="56"/>
      <c r="G27" s="66"/>
    </row>
    <row r="28" spans="1:7" x14ac:dyDescent="0.25">
      <c r="A28" s="84" t="s">
        <v>1477</v>
      </c>
      <c r="B28" s="85" t="s">
        <v>85</v>
      </c>
      <c r="C28" s="56"/>
      <c r="D28" s="56"/>
      <c r="E28" s="56"/>
      <c r="F28" s="56"/>
      <c r="G28" s="66"/>
    </row>
    <row r="29" spans="1:7" x14ac:dyDescent="0.25">
      <c r="A29" s="54" t="s">
        <v>1626</v>
      </c>
      <c r="B29" s="56"/>
      <c r="C29" s="56"/>
      <c r="D29" s="56"/>
      <c r="E29" s="56"/>
      <c r="F29" s="56"/>
      <c r="G29" s="66"/>
    </row>
    <row r="30" spans="1:7" x14ac:dyDescent="0.25">
      <c r="A30" s="54" t="s">
        <v>1478</v>
      </c>
      <c r="B30" s="85" t="s">
        <v>1479</v>
      </c>
      <c r="C30" s="85" t="s">
        <v>1479</v>
      </c>
      <c r="D30" s="56"/>
      <c r="E30" s="56"/>
      <c r="F30" s="56"/>
      <c r="G30" s="66"/>
    </row>
    <row r="31" spans="1:7" x14ac:dyDescent="0.25">
      <c r="A31" s="54"/>
      <c r="B31" s="86">
        <v>44469</v>
      </c>
      <c r="C31" s="86">
        <v>44651</v>
      </c>
      <c r="D31" s="56"/>
      <c r="E31" s="56"/>
      <c r="F31" s="56"/>
      <c r="G31" s="66"/>
    </row>
    <row r="32" spans="1:7" x14ac:dyDescent="0.25">
      <c r="A32" s="54" t="s">
        <v>1483</v>
      </c>
      <c r="B32" s="56">
        <v>16.063099999999999</v>
      </c>
      <c r="C32" s="56">
        <v>15.8405</v>
      </c>
      <c r="D32" s="56"/>
      <c r="E32" s="59"/>
      <c r="F32" s="56"/>
      <c r="G32" s="87"/>
    </row>
    <row r="33" spans="1:7" x14ac:dyDescent="0.25">
      <c r="A33" s="54" t="s">
        <v>1503</v>
      </c>
      <c r="B33" s="56">
        <v>15.0311</v>
      </c>
      <c r="C33" s="56">
        <v>14.7592</v>
      </c>
      <c r="D33" s="56"/>
      <c r="E33" s="59"/>
      <c r="F33" s="56"/>
      <c r="G33" s="87"/>
    </row>
    <row r="34" spans="1:7" x14ac:dyDescent="0.25">
      <c r="A34" s="54"/>
      <c r="B34" s="56"/>
      <c r="C34" s="56"/>
      <c r="D34" s="56"/>
      <c r="E34" s="59"/>
      <c r="F34" s="56"/>
      <c r="G34" s="87"/>
    </row>
    <row r="35" spans="1:7" x14ac:dyDescent="0.25">
      <c r="A35" s="54" t="s">
        <v>2006</v>
      </c>
      <c r="B35" s="85" t="s">
        <v>85</v>
      </c>
      <c r="C35" s="56"/>
      <c r="D35" s="56"/>
      <c r="E35" s="56"/>
      <c r="F35" s="56"/>
      <c r="G35" s="66"/>
    </row>
    <row r="36" spans="1:7" x14ac:dyDescent="0.25">
      <c r="A36" s="54" t="s">
        <v>2008</v>
      </c>
      <c r="B36" s="85" t="s">
        <v>85</v>
      </c>
      <c r="C36" s="56"/>
      <c r="D36" s="56"/>
      <c r="E36" s="56"/>
      <c r="F36" s="56"/>
      <c r="G36" s="66"/>
    </row>
    <row r="37" spans="1:7" ht="17.25" customHeight="1" x14ac:dyDescent="0.25">
      <c r="A37" s="84" t="s">
        <v>2009</v>
      </c>
      <c r="B37" s="85" t="s">
        <v>85</v>
      </c>
      <c r="C37" s="56"/>
      <c r="D37" s="56"/>
      <c r="E37" s="56"/>
      <c r="F37" s="56"/>
      <c r="G37" s="66"/>
    </row>
    <row r="38" spans="1:7" x14ac:dyDescent="0.25">
      <c r="A38" s="84" t="s">
        <v>2010</v>
      </c>
      <c r="B38" s="88">
        <v>13137.5693567</v>
      </c>
      <c r="C38" s="56"/>
      <c r="D38" s="56"/>
      <c r="E38" s="56"/>
      <c r="F38" s="56"/>
      <c r="G38" s="66"/>
    </row>
    <row r="39" spans="1:7" ht="30" x14ac:dyDescent="0.25">
      <c r="A39" s="84" t="s">
        <v>2012</v>
      </c>
      <c r="B39" s="85" t="s">
        <v>85</v>
      </c>
      <c r="C39" s="56"/>
      <c r="D39" s="56"/>
      <c r="E39" s="56"/>
      <c r="F39" s="56"/>
      <c r="G39" s="66"/>
    </row>
    <row r="40" spans="1:7" ht="30" x14ac:dyDescent="0.25">
      <c r="A40" s="84" t="s">
        <v>1561</v>
      </c>
      <c r="B40" s="85" t="s">
        <v>85</v>
      </c>
      <c r="C40" s="56"/>
      <c r="D40" s="56"/>
      <c r="E40" s="56"/>
      <c r="F40" s="56"/>
      <c r="G40" s="66"/>
    </row>
    <row r="41" spans="1:7" x14ac:dyDescent="0.25">
      <c r="A41" s="84" t="s">
        <v>2038</v>
      </c>
      <c r="B41" s="85" t="s">
        <v>85</v>
      </c>
      <c r="C41" s="56"/>
      <c r="D41" s="56"/>
      <c r="E41" s="56"/>
      <c r="F41" s="56"/>
      <c r="G41" s="66"/>
    </row>
    <row r="42" spans="1:7" x14ac:dyDescent="0.25">
      <c r="A42" s="54" t="s">
        <v>2039</v>
      </c>
      <c r="B42" s="85" t="s">
        <v>85</v>
      </c>
      <c r="C42" s="56"/>
      <c r="D42" s="56"/>
      <c r="E42" s="56"/>
      <c r="F42" s="56"/>
      <c r="G42" s="66"/>
    </row>
    <row r="43" spans="1:7" x14ac:dyDescent="0.25">
      <c r="A43" s="54"/>
      <c r="B43" s="85"/>
      <c r="C43" s="56"/>
      <c r="D43" s="56"/>
      <c r="E43" s="56"/>
      <c r="F43" s="56"/>
      <c r="G43" s="66"/>
    </row>
    <row r="44" spans="1:7" ht="15.75" thickBot="1" x14ac:dyDescent="0.3">
      <c r="A44" s="89"/>
      <c r="B44" s="90"/>
      <c r="C44" s="90"/>
      <c r="D44" s="90"/>
      <c r="E44" s="90"/>
      <c r="F44" s="90"/>
      <c r="G44" s="91"/>
    </row>
    <row r="47" spans="1:7" ht="30" x14ac:dyDescent="0.25">
      <c r="A47" s="107" t="s">
        <v>2042</v>
      </c>
      <c r="B47" s="108" t="s">
        <v>2043</v>
      </c>
      <c r="C47" s="108" t="s">
        <v>2044</v>
      </c>
      <c r="D47" s="109" t="s">
        <v>2045</v>
      </c>
    </row>
    <row r="48" spans="1:7" ht="30" x14ac:dyDescent="0.25">
      <c r="A48" s="110" t="str">
        <f>HYPERLINK("[EDEL_Portfolio Monthly 31-Mar-2022.xlsx]EOEDOF!A1","Edelweiss Europe Dynamic Equity Offshore Fund")</f>
        <v>Edelweiss Europe Dynamic Equity Offshore Fund</v>
      </c>
      <c r="B48" s="111"/>
      <c r="C48" s="115" t="s">
        <v>2078</v>
      </c>
      <c r="D48" s="111"/>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47"/>
  <sheetViews>
    <sheetView showGridLines="0" workbookViewId="0">
      <pane ySplit="6" topLeftCell="A42"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78</v>
      </c>
      <c r="B3" s="139"/>
      <c r="C3" s="139"/>
      <c r="D3" s="139"/>
      <c r="E3" s="139"/>
      <c r="F3" s="139"/>
      <c r="G3" s="140"/>
      <c r="H3" s="46" t="str">
        <f>HYPERLINK("[EDEL_Portfolio HY 31032022.xlsx]Index!A1","Index")</f>
        <v>Index</v>
      </c>
    </row>
    <row r="4" spans="1:8" ht="19.5" customHeight="1" x14ac:dyDescent="0.25">
      <c r="A4" s="141" t="s">
        <v>79</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1423</v>
      </c>
      <c r="B9" s="31"/>
      <c r="C9" s="31"/>
      <c r="D9" s="14"/>
      <c r="E9" s="15"/>
      <c r="F9" s="16"/>
      <c r="G9" s="75"/>
    </row>
    <row r="10" spans="1:8" x14ac:dyDescent="0.25">
      <c r="A10" s="76" t="s">
        <v>1424</v>
      </c>
      <c r="B10" s="32"/>
      <c r="C10" s="32"/>
      <c r="D10" s="18"/>
      <c r="E10" s="42"/>
      <c r="F10" s="21"/>
      <c r="G10" s="77"/>
    </row>
    <row r="11" spans="1:8" x14ac:dyDescent="0.25">
      <c r="A11" s="74" t="s">
        <v>2003</v>
      </c>
      <c r="B11" s="31" t="s">
        <v>1473</v>
      </c>
      <c r="C11" s="31"/>
      <c r="D11" s="14">
        <v>119878.69231</v>
      </c>
      <c r="E11" s="15">
        <v>13347.04</v>
      </c>
      <c r="F11" s="16">
        <v>0.99770000000000003</v>
      </c>
      <c r="G11" s="75"/>
    </row>
    <row r="12" spans="1:8" x14ac:dyDescent="0.25">
      <c r="A12" s="76" t="s">
        <v>90</v>
      </c>
      <c r="B12" s="32"/>
      <c r="C12" s="32"/>
      <c r="D12" s="18"/>
      <c r="E12" s="35">
        <v>13347.04</v>
      </c>
      <c r="F12" s="36">
        <v>0.99770000000000003</v>
      </c>
      <c r="G12" s="77"/>
    </row>
    <row r="13" spans="1:8" x14ac:dyDescent="0.25">
      <c r="A13" s="74"/>
      <c r="B13" s="31"/>
      <c r="C13" s="31"/>
      <c r="D13" s="14"/>
      <c r="E13" s="15"/>
      <c r="F13" s="16"/>
      <c r="G13" s="75"/>
    </row>
    <row r="14" spans="1:8" x14ac:dyDescent="0.25">
      <c r="A14" s="78" t="s">
        <v>93</v>
      </c>
      <c r="B14" s="79"/>
      <c r="C14" s="79"/>
      <c r="D14" s="80"/>
      <c r="E14" s="35">
        <v>13347.04</v>
      </c>
      <c r="F14" s="36">
        <v>0.99770000000000003</v>
      </c>
      <c r="G14" s="77"/>
    </row>
    <row r="15" spans="1:8" x14ac:dyDescent="0.25">
      <c r="A15" s="74"/>
      <c r="B15" s="31"/>
      <c r="C15" s="31"/>
      <c r="D15" s="14"/>
      <c r="E15" s="15"/>
      <c r="F15" s="16"/>
      <c r="G15" s="75"/>
    </row>
    <row r="16" spans="1:8" x14ac:dyDescent="0.25">
      <c r="A16" s="76" t="s">
        <v>110</v>
      </c>
      <c r="B16" s="31"/>
      <c r="C16" s="31"/>
      <c r="D16" s="14"/>
      <c r="E16" s="15"/>
      <c r="F16" s="16"/>
      <c r="G16" s="75"/>
    </row>
    <row r="17" spans="1:7" x14ac:dyDescent="0.25">
      <c r="A17" s="74" t="s">
        <v>111</v>
      </c>
      <c r="B17" s="31"/>
      <c r="C17" s="31"/>
      <c r="D17" s="14"/>
      <c r="E17" s="15">
        <v>126.95</v>
      </c>
      <c r="F17" s="16">
        <v>9.4999999999999998E-3</v>
      </c>
      <c r="G17" s="75">
        <v>3.5790000000000002E-2</v>
      </c>
    </row>
    <row r="18" spans="1:7" x14ac:dyDescent="0.25">
      <c r="A18" s="76" t="s">
        <v>90</v>
      </c>
      <c r="B18" s="32"/>
      <c r="C18" s="32"/>
      <c r="D18" s="18"/>
      <c r="E18" s="35">
        <v>126.95</v>
      </c>
      <c r="F18" s="36">
        <v>9.4999999999999998E-3</v>
      </c>
      <c r="G18" s="77"/>
    </row>
    <row r="19" spans="1:7" x14ac:dyDescent="0.25">
      <c r="A19" s="74"/>
      <c r="B19" s="31"/>
      <c r="C19" s="31"/>
      <c r="D19" s="14"/>
      <c r="E19" s="15"/>
      <c r="F19" s="16"/>
      <c r="G19" s="75"/>
    </row>
    <row r="20" spans="1:7" x14ac:dyDescent="0.25">
      <c r="A20" s="78" t="s">
        <v>93</v>
      </c>
      <c r="B20" s="79"/>
      <c r="C20" s="79"/>
      <c r="D20" s="80"/>
      <c r="E20" s="35">
        <v>126.95</v>
      </c>
      <c r="F20" s="36">
        <v>9.4999999999999998E-3</v>
      </c>
      <c r="G20" s="77"/>
    </row>
    <row r="21" spans="1:7" x14ac:dyDescent="0.25">
      <c r="A21" s="74" t="s">
        <v>112</v>
      </c>
      <c r="B21" s="31"/>
      <c r="C21" s="31"/>
      <c r="D21" s="14"/>
      <c r="E21" s="15">
        <v>1.24481E-2</v>
      </c>
      <c r="F21" s="53" t="s">
        <v>2022</v>
      </c>
      <c r="G21" s="75"/>
    </row>
    <row r="22" spans="1:7" x14ac:dyDescent="0.25">
      <c r="A22" s="74" t="s">
        <v>113</v>
      </c>
      <c r="B22" s="31"/>
      <c r="C22" s="31"/>
      <c r="D22" s="14"/>
      <c r="E22" s="24">
        <v>-96.772448100000005</v>
      </c>
      <c r="F22" s="25">
        <v>-7.1999999999999998E-3</v>
      </c>
      <c r="G22" s="75">
        <v>3.5790000000000002E-2</v>
      </c>
    </row>
    <row r="23" spans="1:7" x14ac:dyDescent="0.25">
      <c r="A23" s="81" t="s">
        <v>114</v>
      </c>
      <c r="B23" s="34"/>
      <c r="C23" s="34"/>
      <c r="D23" s="27"/>
      <c r="E23" s="28">
        <v>13377.23</v>
      </c>
      <c r="F23" s="29">
        <v>1</v>
      </c>
      <c r="G23" s="82"/>
    </row>
    <row r="24" spans="1:7" x14ac:dyDescent="0.25">
      <c r="A24" s="54"/>
      <c r="B24" s="56"/>
      <c r="C24" s="56"/>
      <c r="D24" s="56"/>
      <c r="E24" s="56"/>
      <c r="F24" s="56"/>
      <c r="G24" s="66"/>
    </row>
    <row r="25" spans="1:7" x14ac:dyDescent="0.25">
      <c r="A25" s="83" t="s">
        <v>2023</v>
      </c>
      <c r="B25" s="56"/>
      <c r="C25" s="56"/>
      <c r="D25" s="56"/>
      <c r="E25" s="56"/>
      <c r="F25" s="56"/>
      <c r="G25" s="66"/>
    </row>
    <row r="26" spans="1:7" x14ac:dyDescent="0.25">
      <c r="A26" s="54"/>
      <c r="B26" s="56"/>
      <c r="C26" s="56"/>
      <c r="D26" s="56"/>
      <c r="E26" s="56"/>
      <c r="F26" s="56"/>
      <c r="G26" s="66"/>
    </row>
    <row r="27" spans="1:7" x14ac:dyDescent="0.25">
      <c r="A27" s="83" t="s">
        <v>1476</v>
      </c>
      <c r="B27" s="56"/>
      <c r="C27" s="56"/>
      <c r="D27" s="56"/>
      <c r="E27" s="56"/>
      <c r="F27" s="56"/>
      <c r="G27" s="66"/>
    </row>
    <row r="28" spans="1:7" x14ac:dyDescent="0.25">
      <c r="A28" s="84" t="s">
        <v>1477</v>
      </c>
      <c r="B28" s="85" t="s">
        <v>85</v>
      </c>
      <c r="C28" s="56"/>
      <c r="D28" s="56"/>
      <c r="E28" s="56"/>
      <c r="F28" s="56"/>
      <c r="G28" s="66"/>
    </row>
    <row r="29" spans="1:7" x14ac:dyDescent="0.25">
      <c r="A29" s="54" t="s">
        <v>1626</v>
      </c>
      <c r="B29" s="56"/>
      <c r="C29" s="56"/>
      <c r="D29" s="56"/>
      <c r="E29" s="56"/>
      <c r="F29" s="56"/>
      <c r="G29" s="66"/>
    </row>
    <row r="30" spans="1:7" x14ac:dyDescent="0.25">
      <c r="A30" s="54" t="s">
        <v>1478</v>
      </c>
      <c r="B30" s="85" t="s">
        <v>1479</v>
      </c>
      <c r="C30" s="85" t="s">
        <v>1479</v>
      </c>
      <c r="D30" s="56"/>
      <c r="E30" s="56"/>
      <c r="F30" s="56"/>
      <c r="G30" s="66"/>
    </row>
    <row r="31" spans="1:7" x14ac:dyDescent="0.25">
      <c r="A31" s="54"/>
      <c r="B31" s="86">
        <v>44469</v>
      </c>
      <c r="C31" s="86">
        <v>44651</v>
      </c>
      <c r="D31" s="56"/>
      <c r="E31" s="56"/>
      <c r="F31" s="56"/>
      <c r="G31" s="66"/>
    </row>
    <row r="32" spans="1:7" x14ac:dyDescent="0.25">
      <c r="A32" s="54" t="s">
        <v>1483</v>
      </c>
      <c r="B32" s="101">
        <v>17.414000000000001</v>
      </c>
      <c r="C32" s="56">
        <v>15.4603</v>
      </c>
      <c r="D32" s="56"/>
      <c r="E32" s="59"/>
      <c r="F32" s="56"/>
      <c r="G32" s="87"/>
    </row>
    <row r="33" spans="1:7" x14ac:dyDescent="0.25">
      <c r="A33" s="54" t="s">
        <v>1503</v>
      </c>
      <c r="B33" s="56">
        <v>16.574400000000001</v>
      </c>
      <c r="C33" s="56">
        <v>14.6492</v>
      </c>
      <c r="D33" s="56"/>
      <c r="E33" s="59"/>
      <c r="F33" s="56"/>
      <c r="G33" s="87"/>
    </row>
    <row r="34" spans="1:7" x14ac:dyDescent="0.25">
      <c r="A34" s="54"/>
      <c r="B34" s="56"/>
      <c r="C34" s="56"/>
      <c r="D34" s="56"/>
      <c r="E34" s="59"/>
      <c r="F34" s="56"/>
      <c r="G34" s="87"/>
    </row>
    <row r="35" spans="1:7" x14ac:dyDescent="0.25">
      <c r="A35" s="54" t="s">
        <v>2006</v>
      </c>
      <c r="B35" s="85" t="s">
        <v>85</v>
      </c>
      <c r="C35" s="56"/>
      <c r="D35" s="56"/>
      <c r="E35" s="56"/>
      <c r="F35" s="56"/>
      <c r="G35" s="66"/>
    </row>
    <row r="36" spans="1:7" x14ac:dyDescent="0.25">
      <c r="A36" s="54" t="s">
        <v>2008</v>
      </c>
      <c r="B36" s="85" t="s">
        <v>85</v>
      </c>
      <c r="C36" s="56"/>
      <c r="D36" s="56"/>
      <c r="E36" s="56"/>
      <c r="F36" s="56"/>
      <c r="G36" s="66"/>
    </row>
    <row r="37" spans="1:7" ht="18.75" customHeight="1" x14ac:dyDescent="0.25">
      <c r="A37" s="84" t="s">
        <v>2009</v>
      </c>
      <c r="B37" s="85" t="s">
        <v>85</v>
      </c>
      <c r="C37" s="56"/>
      <c r="D37" s="56"/>
      <c r="E37" s="56"/>
      <c r="F37" s="56"/>
      <c r="G37" s="66"/>
    </row>
    <row r="38" spans="1:7" x14ac:dyDescent="0.25">
      <c r="A38" s="84" t="s">
        <v>2010</v>
      </c>
      <c r="B38" s="88">
        <v>13347.040390799999</v>
      </c>
      <c r="C38" s="56"/>
      <c r="D38" s="56"/>
      <c r="E38" s="56"/>
      <c r="F38" s="56"/>
      <c r="G38" s="66"/>
    </row>
    <row r="39" spans="1:7" ht="30" x14ac:dyDescent="0.25">
      <c r="A39" s="84" t="s">
        <v>2012</v>
      </c>
      <c r="B39" s="85" t="s">
        <v>85</v>
      </c>
      <c r="C39" s="56"/>
      <c r="D39" s="56"/>
      <c r="E39" s="56"/>
      <c r="F39" s="56"/>
      <c r="G39" s="66"/>
    </row>
    <row r="40" spans="1:7" ht="30" x14ac:dyDescent="0.25">
      <c r="A40" s="84" t="s">
        <v>1561</v>
      </c>
      <c r="B40" s="85" t="s">
        <v>85</v>
      </c>
      <c r="C40" s="56"/>
      <c r="D40" s="56"/>
      <c r="E40" s="56"/>
      <c r="F40" s="56"/>
      <c r="G40" s="66"/>
    </row>
    <row r="41" spans="1:7" x14ac:dyDescent="0.25">
      <c r="A41" s="84" t="s">
        <v>2038</v>
      </c>
      <c r="B41" s="85" t="s">
        <v>85</v>
      </c>
      <c r="C41" s="56"/>
      <c r="D41" s="56"/>
      <c r="E41" s="56"/>
      <c r="F41" s="56"/>
      <c r="G41" s="66"/>
    </row>
    <row r="42" spans="1:7" x14ac:dyDescent="0.25">
      <c r="A42" s="54" t="s">
        <v>2039</v>
      </c>
      <c r="B42" s="85" t="s">
        <v>85</v>
      </c>
      <c r="C42" s="56"/>
      <c r="D42" s="56"/>
      <c r="E42" s="56"/>
      <c r="F42" s="56"/>
      <c r="G42" s="66"/>
    </row>
    <row r="43" spans="1:7" x14ac:dyDescent="0.25">
      <c r="A43" s="54"/>
      <c r="B43" s="85"/>
      <c r="C43" s="56"/>
      <c r="D43" s="56"/>
      <c r="E43" s="56"/>
      <c r="F43" s="56"/>
      <c r="G43" s="66"/>
    </row>
    <row r="44" spans="1:7" ht="15.75" thickBot="1" x14ac:dyDescent="0.3">
      <c r="A44" s="89"/>
      <c r="B44" s="90"/>
      <c r="C44" s="90"/>
      <c r="D44" s="90"/>
      <c r="E44" s="90"/>
      <c r="F44" s="90"/>
      <c r="G44" s="91"/>
    </row>
    <row r="46" spans="1:7" ht="30" x14ac:dyDescent="0.25">
      <c r="A46" s="107" t="s">
        <v>2042</v>
      </c>
      <c r="B46" s="108" t="s">
        <v>2043</v>
      </c>
      <c r="C46" s="108" t="s">
        <v>2044</v>
      </c>
      <c r="D46" s="109" t="s">
        <v>2045</v>
      </c>
    </row>
    <row r="47" spans="1:7" ht="50.25" customHeight="1" x14ac:dyDescent="0.25">
      <c r="A47" s="110" t="str">
        <f>HYPERLINK("[EDEL_Portfolio Monthly 31-Mar-2022.xlsx]EOEMOP!A1","Edelweiss Emerging Markets Opportunities Equity Offshore Fund")</f>
        <v>Edelweiss Emerging Markets Opportunities Equity Offshore Fund</v>
      </c>
      <c r="B47" s="111"/>
      <c r="C47" s="111" t="s">
        <v>2079</v>
      </c>
      <c r="D47" s="111"/>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48"/>
  <sheetViews>
    <sheetView showGridLines="0" workbookViewId="0">
      <pane ySplit="6" topLeftCell="A45" activePane="bottomLeft" state="frozen"/>
      <selection activeCell="J3" sqref="J3"/>
      <selection pane="bottomLeft" activeCell="J3" sqref="J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80</v>
      </c>
      <c r="B3" s="139"/>
      <c r="C3" s="139"/>
      <c r="D3" s="139"/>
      <c r="E3" s="139"/>
      <c r="F3" s="139"/>
      <c r="G3" s="140"/>
      <c r="H3" s="46" t="str">
        <f>HYPERLINK("[EDEL_Portfolio HY 31032022.xlsx]Index!A1","Index")</f>
        <v>Index</v>
      </c>
    </row>
    <row r="4" spans="1:8" ht="19.5" customHeight="1" x14ac:dyDescent="0.25">
      <c r="A4" s="141" t="s">
        <v>81</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1423</v>
      </c>
      <c r="B9" s="31"/>
      <c r="C9" s="31"/>
      <c r="D9" s="14"/>
      <c r="E9" s="15"/>
      <c r="F9" s="16"/>
      <c r="G9" s="75"/>
    </row>
    <row r="10" spans="1:8" x14ac:dyDescent="0.25">
      <c r="A10" s="76" t="s">
        <v>1424</v>
      </c>
      <c r="B10" s="32"/>
      <c r="C10" s="32"/>
      <c r="D10" s="18"/>
      <c r="E10" s="42"/>
      <c r="F10" s="21"/>
      <c r="G10" s="77"/>
    </row>
    <row r="11" spans="1:8" x14ac:dyDescent="0.25">
      <c r="A11" s="74" t="s">
        <v>2004</v>
      </c>
      <c r="B11" s="31" t="s">
        <v>1474</v>
      </c>
      <c r="C11" s="31"/>
      <c r="D11" s="14">
        <v>33757.377999999997</v>
      </c>
      <c r="E11" s="15">
        <v>8106.3</v>
      </c>
      <c r="F11" s="16">
        <v>0.99550000000000005</v>
      </c>
      <c r="G11" s="75"/>
    </row>
    <row r="12" spans="1:8" x14ac:dyDescent="0.25">
      <c r="A12" s="76" t="s">
        <v>90</v>
      </c>
      <c r="B12" s="32"/>
      <c r="C12" s="32"/>
      <c r="D12" s="18"/>
      <c r="E12" s="35">
        <v>8106.3</v>
      </c>
      <c r="F12" s="36">
        <v>0.99550000000000005</v>
      </c>
      <c r="G12" s="77"/>
    </row>
    <row r="13" spans="1:8" x14ac:dyDescent="0.25">
      <c r="A13" s="74"/>
      <c r="B13" s="31"/>
      <c r="C13" s="31"/>
      <c r="D13" s="14"/>
      <c r="E13" s="15"/>
      <c r="F13" s="16"/>
      <c r="G13" s="75"/>
    </row>
    <row r="14" spans="1:8" x14ac:dyDescent="0.25">
      <c r="A14" s="78" t="s">
        <v>93</v>
      </c>
      <c r="B14" s="79"/>
      <c r="C14" s="79"/>
      <c r="D14" s="80"/>
      <c r="E14" s="35">
        <v>8106.3</v>
      </c>
      <c r="F14" s="36">
        <v>0.99550000000000005</v>
      </c>
      <c r="G14" s="77"/>
    </row>
    <row r="15" spans="1:8" x14ac:dyDescent="0.25">
      <c r="A15" s="74"/>
      <c r="B15" s="31"/>
      <c r="C15" s="31"/>
      <c r="D15" s="14"/>
      <c r="E15" s="15"/>
      <c r="F15" s="16"/>
      <c r="G15" s="75"/>
    </row>
    <row r="16" spans="1:8" x14ac:dyDescent="0.25">
      <c r="A16" s="76" t="s">
        <v>110</v>
      </c>
      <c r="B16" s="31"/>
      <c r="C16" s="31"/>
      <c r="D16" s="14"/>
      <c r="E16" s="15"/>
      <c r="F16" s="16"/>
      <c r="G16" s="75"/>
    </row>
    <row r="17" spans="1:7" x14ac:dyDescent="0.25">
      <c r="A17" s="74" t="s">
        <v>111</v>
      </c>
      <c r="B17" s="31"/>
      <c r="C17" s="31"/>
      <c r="D17" s="14"/>
      <c r="E17" s="15">
        <v>56.98</v>
      </c>
      <c r="F17" s="16">
        <v>7.0000000000000001E-3</v>
      </c>
      <c r="G17" s="75">
        <v>3.5790000000000002E-2</v>
      </c>
    </row>
    <row r="18" spans="1:7" x14ac:dyDescent="0.25">
      <c r="A18" s="76" t="s">
        <v>90</v>
      </c>
      <c r="B18" s="32"/>
      <c r="C18" s="32"/>
      <c r="D18" s="18"/>
      <c r="E18" s="35">
        <v>56.98</v>
      </c>
      <c r="F18" s="36">
        <v>7.0000000000000001E-3</v>
      </c>
      <c r="G18" s="77"/>
    </row>
    <row r="19" spans="1:7" x14ac:dyDescent="0.25">
      <c r="A19" s="74"/>
      <c r="B19" s="31"/>
      <c r="C19" s="31"/>
      <c r="D19" s="14"/>
      <c r="E19" s="15"/>
      <c r="F19" s="16"/>
      <c r="G19" s="75"/>
    </row>
    <row r="20" spans="1:7" x14ac:dyDescent="0.25">
      <c r="A20" s="78" t="s">
        <v>93</v>
      </c>
      <c r="B20" s="79"/>
      <c r="C20" s="79"/>
      <c r="D20" s="80"/>
      <c r="E20" s="35">
        <v>56.98</v>
      </c>
      <c r="F20" s="36">
        <v>7.0000000000000001E-3</v>
      </c>
      <c r="G20" s="77"/>
    </row>
    <row r="21" spans="1:7" x14ac:dyDescent="0.25">
      <c r="A21" s="74" t="s">
        <v>112</v>
      </c>
      <c r="B21" s="31"/>
      <c r="C21" s="31"/>
      <c r="D21" s="14"/>
      <c r="E21" s="15">
        <v>5.5868999999999997E-3</v>
      </c>
      <c r="F21" s="53" t="s">
        <v>2022</v>
      </c>
      <c r="G21" s="75"/>
    </row>
    <row r="22" spans="1:7" x14ac:dyDescent="0.25">
      <c r="A22" s="74" t="s">
        <v>113</v>
      </c>
      <c r="B22" s="31"/>
      <c r="C22" s="31"/>
      <c r="D22" s="14"/>
      <c r="E22" s="24">
        <v>-20.685586900000001</v>
      </c>
      <c r="F22" s="25">
        <v>-2.5000000000000001E-3</v>
      </c>
      <c r="G22" s="75">
        <v>3.5790000000000002E-2</v>
      </c>
    </row>
    <row r="23" spans="1:7" x14ac:dyDescent="0.25">
      <c r="A23" s="81" t="s">
        <v>114</v>
      </c>
      <c r="B23" s="34"/>
      <c r="C23" s="34"/>
      <c r="D23" s="27"/>
      <c r="E23" s="28">
        <v>8142.6</v>
      </c>
      <c r="F23" s="29">
        <v>1</v>
      </c>
      <c r="G23" s="82"/>
    </row>
    <row r="24" spans="1:7" x14ac:dyDescent="0.25">
      <c r="A24" s="54"/>
      <c r="B24" s="56"/>
      <c r="C24" s="56"/>
      <c r="D24" s="56"/>
      <c r="E24" s="56"/>
      <c r="F24" s="56"/>
      <c r="G24" s="66"/>
    </row>
    <row r="25" spans="1:7" x14ac:dyDescent="0.25">
      <c r="A25" s="83" t="s">
        <v>2023</v>
      </c>
      <c r="B25" s="56"/>
      <c r="C25" s="56"/>
      <c r="D25" s="56"/>
      <c r="E25" s="56"/>
      <c r="F25" s="56"/>
      <c r="G25" s="66"/>
    </row>
    <row r="26" spans="1:7" x14ac:dyDescent="0.25">
      <c r="A26" s="54"/>
      <c r="B26" s="56"/>
      <c r="C26" s="56"/>
      <c r="D26" s="56"/>
      <c r="E26" s="56"/>
      <c r="F26" s="56"/>
      <c r="G26" s="66"/>
    </row>
    <row r="27" spans="1:7" x14ac:dyDescent="0.25">
      <c r="A27" s="83" t="s">
        <v>1476</v>
      </c>
      <c r="B27" s="56"/>
      <c r="C27" s="56"/>
      <c r="D27" s="56"/>
      <c r="E27" s="56"/>
      <c r="F27" s="56"/>
      <c r="G27" s="66"/>
    </row>
    <row r="28" spans="1:7" x14ac:dyDescent="0.25">
      <c r="A28" s="84" t="s">
        <v>1477</v>
      </c>
      <c r="B28" s="85" t="s">
        <v>85</v>
      </c>
      <c r="C28" s="56"/>
      <c r="D28" s="56"/>
      <c r="E28" s="56"/>
      <c r="F28" s="56"/>
      <c r="G28" s="66"/>
    </row>
    <row r="29" spans="1:7" x14ac:dyDescent="0.25">
      <c r="A29" s="54" t="s">
        <v>1626</v>
      </c>
      <c r="B29" s="56"/>
      <c r="C29" s="56"/>
      <c r="D29" s="56"/>
      <c r="E29" s="56"/>
      <c r="F29" s="56"/>
      <c r="G29" s="66"/>
    </row>
    <row r="30" spans="1:7" x14ac:dyDescent="0.25">
      <c r="A30" s="54" t="s">
        <v>1478</v>
      </c>
      <c r="B30" s="85" t="s">
        <v>1479</v>
      </c>
      <c r="C30" s="85" t="s">
        <v>1479</v>
      </c>
      <c r="D30" s="56"/>
      <c r="E30" s="56"/>
      <c r="F30" s="56"/>
      <c r="G30" s="66"/>
    </row>
    <row r="31" spans="1:7" x14ac:dyDescent="0.25">
      <c r="A31" s="54"/>
      <c r="B31" s="86">
        <v>44469</v>
      </c>
      <c r="C31" s="86">
        <v>44651</v>
      </c>
      <c r="D31" s="56"/>
      <c r="E31" s="56"/>
      <c r="F31" s="56"/>
      <c r="G31" s="66"/>
    </row>
    <row r="32" spans="1:7" x14ac:dyDescent="0.25">
      <c r="A32" s="54" t="s">
        <v>1483</v>
      </c>
      <c r="B32" s="56">
        <v>24.3492</v>
      </c>
      <c r="C32" s="56">
        <v>26.279800000000002</v>
      </c>
      <c r="D32" s="56"/>
      <c r="E32" s="59"/>
      <c r="F32" s="56"/>
      <c r="G32" s="87"/>
    </row>
    <row r="33" spans="1:7" x14ac:dyDescent="0.25">
      <c r="A33" s="54" t="s">
        <v>1503</v>
      </c>
      <c r="B33" s="56">
        <v>22.786300000000001</v>
      </c>
      <c r="C33" s="56">
        <v>24.4832</v>
      </c>
      <c r="D33" s="56"/>
      <c r="E33" s="59"/>
      <c r="F33" s="56"/>
      <c r="G33" s="87"/>
    </row>
    <row r="34" spans="1:7" x14ac:dyDescent="0.25">
      <c r="A34" s="54"/>
      <c r="B34" s="56"/>
      <c r="C34" s="56"/>
      <c r="D34" s="56"/>
      <c r="E34" s="59"/>
      <c r="F34" s="56"/>
      <c r="G34" s="87"/>
    </row>
    <row r="35" spans="1:7" x14ac:dyDescent="0.25">
      <c r="A35" s="54" t="s">
        <v>2006</v>
      </c>
      <c r="B35" s="85" t="s">
        <v>85</v>
      </c>
      <c r="C35" s="56"/>
      <c r="D35" s="56"/>
      <c r="E35" s="56"/>
      <c r="F35" s="56"/>
      <c r="G35" s="66"/>
    </row>
    <row r="36" spans="1:7" x14ac:dyDescent="0.25">
      <c r="A36" s="54" t="s">
        <v>2008</v>
      </c>
      <c r="B36" s="85" t="s">
        <v>85</v>
      </c>
      <c r="C36" s="56"/>
      <c r="D36" s="56"/>
      <c r="E36" s="56"/>
      <c r="F36" s="56"/>
      <c r="G36" s="66"/>
    </row>
    <row r="37" spans="1:7" ht="16.5" customHeight="1" x14ac:dyDescent="0.25">
      <c r="A37" s="84" t="s">
        <v>2009</v>
      </c>
      <c r="B37" s="85" t="s">
        <v>85</v>
      </c>
      <c r="C37" s="56"/>
      <c r="D37" s="56"/>
      <c r="E37" s="56"/>
      <c r="F37" s="56"/>
      <c r="G37" s="66"/>
    </row>
    <row r="38" spans="1:7" x14ac:dyDescent="0.25">
      <c r="A38" s="84" t="s">
        <v>2010</v>
      </c>
      <c r="B38" s="88">
        <v>8106.2992955999998</v>
      </c>
      <c r="C38" s="56"/>
      <c r="D38" s="56"/>
      <c r="E38" s="56"/>
      <c r="F38" s="56"/>
      <c r="G38" s="66"/>
    </row>
    <row r="39" spans="1:7" ht="30" x14ac:dyDescent="0.25">
      <c r="A39" s="84" t="s">
        <v>2012</v>
      </c>
      <c r="B39" s="85" t="s">
        <v>85</v>
      </c>
      <c r="C39" s="56"/>
      <c r="D39" s="56"/>
      <c r="E39" s="56"/>
      <c r="F39" s="56"/>
      <c r="G39" s="66"/>
    </row>
    <row r="40" spans="1:7" ht="30" x14ac:dyDescent="0.25">
      <c r="A40" s="84" t="s">
        <v>1561</v>
      </c>
      <c r="B40" s="85" t="s">
        <v>85</v>
      </c>
      <c r="C40" s="56"/>
      <c r="D40" s="56"/>
      <c r="E40" s="56"/>
      <c r="F40" s="56"/>
      <c r="G40" s="66"/>
    </row>
    <row r="41" spans="1:7" x14ac:dyDescent="0.25">
      <c r="A41" s="84" t="s">
        <v>2038</v>
      </c>
      <c r="B41" s="85" t="s">
        <v>85</v>
      </c>
      <c r="C41" s="56"/>
      <c r="D41" s="56"/>
      <c r="E41" s="56"/>
      <c r="F41" s="56"/>
      <c r="G41" s="66"/>
    </row>
    <row r="42" spans="1:7" x14ac:dyDescent="0.25">
      <c r="A42" s="54" t="s">
        <v>2039</v>
      </c>
      <c r="B42" s="85" t="s">
        <v>85</v>
      </c>
      <c r="C42" s="56"/>
      <c r="D42" s="56"/>
      <c r="E42" s="56"/>
      <c r="F42" s="56"/>
      <c r="G42" s="66"/>
    </row>
    <row r="43" spans="1:7" x14ac:dyDescent="0.25">
      <c r="A43" s="54"/>
      <c r="B43" s="85"/>
      <c r="C43" s="56"/>
      <c r="D43" s="56"/>
      <c r="E43" s="56"/>
      <c r="F43" s="56"/>
      <c r="G43" s="66"/>
    </row>
    <row r="44" spans="1:7" ht="15.75" thickBot="1" x14ac:dyDescent="0.3">
      <c r="A44" s="89"/>
      <c r="B44" s="90"/>
      <c r="C44" s="90"/>
      <c r="D44" s="90"/>
      <c r="E44" s="90"/>
      <c r="F44" s="90"/>
      <c r="G44" s="91"/>
    </row>
    <row r="47" spans="1:7" ht="30" x14ac:dyDescent="0.25">
      <c r="A47" s="107" t="s">
        <v>2042</v>
      </c>
      <c r="B47" s="108" t="s">
        <v>2043</v>
      </c>
      <c r="C47" s="108" t="s">
        <v>2044</v>
      </c>
      <c r="D47" s="109" t="s">
        <v>2045</v>
      </c>
    </row>
    <row r="48" spans="1:7" ht="48.75" customHeight="1" x14ac:dyDescent="0.25">
      <c r="A48" s="110" t="str">
        <f>HYPERLINK("[EDEL_Portfolio Monthly 31-Mar-2022.xlsx]EOUSEF!A1","Edelweiss US Value Equity Off-shore Fund")</f>
        <v>Edelweiss US Value Equity Off-shore Fund</v>
      </c>
      <c r="B48" s="111"/>
      <c r="C48" s="112" t="s">
        <v>2080</v>
      </c>
      <c r="D48" s="111"/>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48"/>
  <sheetViews>
    <sheetView showGridLines="0" workbookViewId="0">
      <pane ySplit="6" topLeftCell="A7" activePane="bottomLeft" state="frozen"/>
      <selection activeCell="J3" sqref="J3"/>
      <selection pane="bottomLeft" activeCell="H3" sqref="H3"/>
    </sheetView>
  </sheetViews>
  <sheetFormatPr defaultRowHeight="15" x14ac:dyDescent="0.25"/>
  <cols>
    <col min="1" max="1" width="74" customWidth="1"/>
    <col min="2" max="2" width="19.7109375" customWidth="1"/>
    <col min="3" max="3" width="26.7109375" customWidth="1"/>
    <col min="4" max="4" width="15.42578125" customWidth="1"/>
    <col min="5" max="5" width="16.5703125" customWidth="1"/>
    <col min="6" max="6" width="15.42578125" customWidth="1"/>
    <col min="7" max="7" width="6" style="2" bestFit="1" customWidth="1"/>
    <col min="12" max="12" width="66.28515625" bestFit="1" customWidth="1"/>
    <col min="13" max="13" width="10" bestFit="1" customWidth="1"/>
    <col min="14" max="14" width="9.7109375" bestFit="1" customWidth="1"/>
    <col min="15" max="15" width="14.28515625" bestFit="1" customWidth="1"/>
    <col min="16" max="16" width="11.5703125" bestFit="1" customWidth="1"/>
  </cols>
  <sheetData>
    <row r="1" spans="1:8" x14ac:dyDescent="0.25">
      <c r="A1" s="50" t="s">
        <v>1613</v>
      </c>
    </row>
    <row r="2" spans="1:8" ht="30.75" thickBot="1" x14ac:dyDescent="0.3">
      <c r="A2" s="65" t="s">
        <v>2083</v>
      </c>
    </row>
    <row r="3" spans="1:8" ht="36.75" customHeight="1" x14ac:dyDescent="0.25">
      <c r="A3" s="138" t="s">
        <v>82</v>
      </c>
      <c r="B3" s="139"/>
      <c r="C3" s="139"/>
      <c r="D3" s="139"/>
      <c r="E3" s="139"/>
      <c r="F3" s="139"/>
      <c r="G3" s="140"/>
      <c r="H3" s="46" t="str">
        <f>HYPERLINK("[EDEL_Portfolio HY 31032022.xlsx]Index!A1","Index")</f>
        <v>Index</v>
      </c>
    </row>
    <row r="4" spans="1:8" ht="19.5" customHeight="1" x14ac:dyDescent="0.25">
      <c r="A4" s="141" t="s">
        <v>83</v>
      </c>
      <c r="B4" s="142"/>
      <c r="C4" s="142"/>
      <c r="D4" s="142"/>
      <c r="E4" s="142"/>
      <c r="F4" s="142"/>
      <c r="G4" s="143"/>
    </row>
    <row r="5" spans="1:8" x14ac:dyDescent="0.25">
      <c r="A5" s="54"/>
      <c r="B5" s="56"/>
      <c r="C5" s="56"/>
      <c r="D5" s="56"/>
      <c r="E5" s="56"/>
      <c r="F5" s="56"/>
      <c r="G5" s="66"/>
    </row>
    <row r="6" spans="1:8" ht="48" customHeight="1" x14ac:dyDescent="0.25">
      <c r="A6" s="67" t="s">
        <v>0</v>
      </c>
      <c r="B6" s="68" t="s">
        <v>1</v>
      </c>
      <c r="C6" s="68" t="s">
        <v>5</v>
      </c>
      <c r="D6" s="69" t="s">
        <v>2</v>
      </c>
      <c r="E6" s="70" t="s">
        <v>4</v>
      </c>
      <c r="F6" s="70" t="s">
        <v>3</v>
      </c>
      <c r="G6" s="71" t="s">
        <v>6</v>
      </c>
    </row>
    <row r="7" spans="1:8" x14ac:dyDescent="0.25">
      <c r="A7" s="72"/>
      <c r="B7" s="30"/>
      <c r="C7" s="30"/>
      <c r="D7" s="9"/>
      <c r="E7" s="10"/>
      <c r="F7" s="11"/>
      <c r="G7" s="73"/>
    </row>
    <row r="8" spans="1:8" x14ac:dyDescent="0.25">
      <c r="A8" s="74"/>
      <c r="B8" s="31"/>
      <c r="C8" s="31"/>
      <c r="D8" s="14"/>
      <c r="E8" s="15"/>
      <c r="F8" s="16"/>
      <c r="G8" s="75"/>
    </row>
    <row r="9" spans="1:8" x14ac:dyDescent="0.25">
      <c r="A9" s="76" t="s">
        <v>1423</v>
      </c>
      <c r="B9" s="31"/>
      <c r="C9" s="31"/>
      <c r="D9" s="14"/>
      <c r="E9" s="15"/>
      <c r="F9" s="16"/>
      <c r="G9" s="75"/>
    </row>
    <row r="10" spans="1:8" x14ac:dyDescent="0.25">
      <c r="A10" s="76" t="s">
        <v>1424</v>
      </c>
      <c r="B10" s="32"/>
      <c r="C10" s="32"/>
      <c r="D10" s="18"/>
      <c r="E10" s="42"/>
      <c r="F10" s="21"/>
      <c r="G10" s="77"/>
    </row>
    <row r="11" spans="1:8" x14ac:dyDescent="0.25">
      <c r="A11" s="74" t="s">
        <v>2005</v>
      </c>
      <c r="B11" s="31" t="s">
        <v>1475</v>
      </c>
      <c r="C11" s="31"/>
      <c r="D11" s="14">
        <v>1145148.419</v>
      </c>
      <c r="E11" s="15">
        <v>194160.1</v>
      </c>
      <c r="F11" s="16">
        <v>0.99550000000000005</v>
      </c>
      <c r="G11" s="75"/>
    </row>
    <row r="12" spans="1:8" x14ac:dyDescent="0.25">
      <c r="A12" s="76" t="s">
        <v>90</v>
      </c>
      <c r="B12" s="32"/>
      <c r="C12" s="32"/>
      <c r="D12" s="18"/>
      <c r="E12" s="35">
        <v>194160.1</v>
      </c>
      <c r="F12" s="36">
        <v>0.99550000000000005</v>
      </c>
      <c r="G12" s="77"/>
    </row>
    <row r="13" spans="1:8" x14ac:dyDescent="0.25">
      <c r="A13" s="74"/>
      <c r="B13" s="31"/>
      <c r="C13" s="31"/>
      <c r="D13" s="14"/>
      <c r="E13" s="15"/>
      <c r="F13" s="16"/>
      <c r="G13" s="75"/>
    </row>
    <row r="14" spans="1:8" x14ac:dyDescent="0.25">
      <c r="A14" s="78" t="s">
        <v>93</v>
      </c>
      <c r="B14" s="79"/>
      <c r="C14" s="79"/>
      <c r="D14" s="80"/>
      <c r="E14" s="35">
        <v>194160.1</v>
      </c>
      <c r="F14" s="36">
        <v>0.99550000000000005</v>
      </c>
      <c r="G14" s="77"/>
    </row>
    <row r="15" spans="1:8" x14ac:dyDescent="0.25">
      <c r="A15" s="74"/>
      <c r="B15" s="31"/>
      <c r="C15" s="31"/>
      <c r="D15" s="14"/>
      <c r="E15" s="15"/>
      <c r="F15" s="16"/>
      <c r="G15" s="75"/>
    </row>
    <row r="16" spans="1:8" x14ac:dyDescent="0.25">
      <c r="A16" s="76" t="s">
        <v>110</v>
      </c>
      <c r="B16" s="31"/>
      <c r="C16" s="31"/>
      <c r="D16" s="14"/>
      <c r="E16" s="15"/>
      <c r="F16" s="16"/>
      <c r="G16" s="75"/>
    </row>
    <row r="17" spans="1:7" x14ac:dyDescent="0.25">
      <c r="A17" s="74" t="s">
        <v>111</v>
      </c>
      <c r="B17" s="31"/>
      <c r="C17" s="31"/>
      <c r="D17" s="14"/>
      <c r="E17" s="15">
        <v>1475.42</v>
      </c>
      <c r="F17" s="16">
        <v>7.6E-3</v>
      </c>
      <c r="G17" s="75">
        <v>3.5790000000000002E-2</v>
      </c>
    </row>
    <row r="18" spans="1:7" x14ac:dyDescent="0.25">
      <c r="A18" s="76" t="s">
        <v>90</v>
      </c>
      <c r="B18" s="32"/>
      <c r="C18" s="32"/>
      <c r="D18" s="18"/>
      <c r="E18" s="35">
        <v>1475.42</v>
      </c>
      <c r="F18" s="36">
        <v>7.6E-3</v>
      </c>
      <c r="G18" s="77"/>
    </row>
    <row r="19" spans="1:7" x14ac:dyDescent="0.25">
      <c r="A19" s="74"/>
      <c r="B19" s="31"/>
      <c r="C19" s="31"/>
      <c r="D19" s="14"/>
      <c r="E19" s="15"/>
      <c r="F19" s="16"/>
      <c r="G19" s="75"/>
    </row>
    <row r="20" spans="1:7" x14ac:dyDescent="0.25">
      <c r="A20" s="78" t="s">
        <v>93</v>
      </c>
      <c r="B20" s="79"/>
      <c r="C20" s="79"/>
      <c r="D20" s="80"/>
      <c r="E20" s="35">
        <v>1475.42</v>
      </c>
      <c r="F20" s="36">
        <v>7.6E-3</v>
      </c>
      <c r="G20" s="77"/>
    </row>
    <row r="21" spans="1:7" x14ac:dyDescent="0.25">
      <c r="A21" s="74" t="s">
        <v>112</v>
      </c>
      <c r="B21" s="31"/>
      <c r="C21" s="31"/>
      <c r="D21" s="14"/>
      <c r="E21" s="15">
        <v>0.1446721</v>
      </c>
      <c r="F21" s="53" t="s">
        <v>2022</v>
      </c>
      <c r="G21" s="75"/>
    </row>
    <row r="22" spans="1:7" x14ac:dyDescent="0.25">
      <c r="A22" s="74" t="s">
        <v>113</v>
      </c>
      <c r="B22" s="31"/>
      <c r="C22" s="31"/>
      <c r="D22" s="14"/>
      <c r="E22" s="24">
        <v>-590.4946721</v>
      </c>
      <c r="F22" s="25">
        <v>-3.0999999999999999E-3</v>
      </c>
      <c r="G22" s="75">
        <v>3.5790000000000002E-2</v>
      </c>
    </row>
    <row r="23" spans="1:7" x14ac:dyDescent="0.25">
      <c r="A23" s="81" t="s">
        <v>114</v>
      </c>
      <c r="B23" s="34"/>
      <c r="C23" s="34"/>
      <c r="D23" s="27"/>
      <c r="E23" s="28">
        <v>195045.17</v>
      </c>
      <c r="F23" s="29">
        <v>1</v>
      </c>
      <c r="G23" s="82"/>
    </row>
    <row r="24" spans="1:7" x14ac:dyDescent="0.25">
      <c r="A24" s="54"/>
      <c r="B24" s="56"/>
      <c r="C24" s="56"/>
      <c r="D24" s="56"/>
      <c r="E24" s="56"/>
      <c r="F24" s="56"/>
      <c r="G24" s="66"/>
    </row>
    <row r="25" spans="1:7" x14ac:dyDescent="0.25">
      <c r="A25" s="83" t="s">
        <v>2023</v>
      </c>
      <c r="B25" s="56"/>
      <c r="C25" s="56"/>
      <c r="D25" s="56"/>
      <c r="E25" s="56"/>
      <c r="F25" s="56"/>
      <c r="G25" s="66"/>
    </row>
    <row r="26" spans="1:7" x14ac:dyDescent="0.25">
      <c r="A26" s="54"/>
      <c r="B26" s="56"/>
      <c r="C26" s="56"/>
      <c r="D26" s="56"/>
      <c r="E26" s="56"/>
      <c r="F26" s="56"/>
      <c r="G26" s="66"/>
    </row>
    <row r="27" spans="1:7" x14ac:dyDescent="0.25">
      <c r="A27" s="83" t="s">
        <v>1476</v>
      </c>
      <c r="B27" s="56"/>
      <c r="C27" s="56"/>
      <c r="D27" s="56"/>
      <c r="E27" s="56"/>
      <c r="F27" s="56"/>
      <c r="G27" s="66"/>
    </row>
    <row r="28" spans="1:7" x14ac:dyDescent="0.25">
      <c r="A28" s="84" t="s">
        <v>1477</v>
      </c>
      <c r="B28" s="85" t="s">
        <v>85</v>
      </c>
      <c r="C28" s="56"/>
      <c r="D28" s="56"/>
      <c r="E28" s="56"/>
      <c r="F28" s="56"/>
      <c r="G28" s="66"/>
    </row>
    <row r="29" spans="1:7" x14ac:dyDescent="0.25">
      <c r="A29" s="54" t="s">
        <v>1626</v>
      </c>
      <c r="B29" s="56"/>
      <c r="C29" s="56"/>
      <c r="D29" s="56"/>
      <c r="E29" s="56"/>
      <c r="F29" s="56"/>
      <c r="G29" s="66"/>
    </row>
    <row r="30" spans="1:7" x14ac:dyDescent="0.25">
      <c r="A30" s="54" t="s">
        <v>1478</v>
      </c>
      <c r="B30" s="85" t="s">
        <v>1479</v>
      </c>
      <c r="C30" s="85" t="s">
        <v>1479</v>
      </c>
      <c r="D30" s="56"/>
      <c r="E30" s="56"/>
      <c r="F30" s="56"/>
      <c r="G30" s="66"/>
    </row>
    <row r="31" spans="1:7" x14ac:dyDescent="0.25">
      <c r="A31" s="54"/>
      <c r="B31" s="86">
        <v>44469</v>
      </c>
      <c r="C31" s="86">
        <v>44651</v>
      </c>
      <c r="D31" s="56"/>
      <c r="E31" s="56"/>
      <c r="F31" s="56"/>
      <c r="G31" s="66"/>
    </row>
    <row r="32" spans="1:7" x14ac:dyDescent="0.25">
      <c r="A32" s="54" t="s">
        <v>1483</v>
      </c>
      <c r="B32" s="56">
        <v>19.166599999999999</v>
      </c>
      <c r="C32" s="56">
        <v>17.4238</v>
      </c>
      <c r="D32" s="56"/>
      <c r="E32" s="59"/>
      <c r="F32" s="56"/>
      <c r="G32" s="87"/>
    </row>
    <row r="33" spans="1:7" x14ac:dyDescent="0.25">
      <c r="A33" s="54" t="s">
        <v>1503</v>
      </c>
      <c r="B33" s="56">
        <v>18.853300000000001</v>
      </c>
      <c r="C33" s="56">
        <v>17.056100000000001</v>
      </c>
      <c r="D33" s="56"/>
      <c r="E33" s="59"/>
      <c r="F33" s="56"/>
      <c r="G33" s="87"/>
    </row>
    <row r="34" spans="1:7" x14ac:dyDescent="0.25">
      <c r="A34" s="54"/>
      <c r="B34" s="56"/>
      <c r="C34" s="56"/>
      <c r="D34" s="56"/>
      <c r="E34" s="59"/>
      <c r="F34" s="56"/>
      <c r="G34" s="87"/>
    </row>
    <row r="35" spans="1:7" x14ac:dyDescent="0.25">
      <c r="A35" s="54" t="s">
        <v>2006</v>
      </c>
      <c r="B35" s="85" t="s">
        <v>85</v>
      </c>
      <c r="C35" s="56"/>
      <c r="D35" s="56"/>
      <c r="E35" s="56"/>
      <c r="F35" s="56"/>
      <c r="G35" s="66"/>
    </row>
    <row r="36" spans="1:7" x14ac:dyDescent="0.25">
      <c r="A36" s="54" t="s">
        <v>2008</v>
      </c>
      <c r="B36" s="85" t="s">
        <v>85</v>
      </c>
      <c r="C36" s="56"/>
      <c r="D36" s="56"/>
      <c r="E36" s="56"/>
      <c r="F36" s="56"/>
      <c r="G36" s="66"/>
    </row>
    <row r="37" spans="1:7" ht="17.25" customHeight="1" x14ac:dyDescent="0.25">
      <c r="A37" s="84" t="s">
        <v>2009</v>
      </c>
      <c r="B37" s="85" t="s">
        <v>85</v>
      </c>
      <c r="C37" s="56"/>
      <c r="D37" s="56"/>
      <c r="E37" s="56"/>
      <c r="F37" s="56"/>
      <c r="G37" s="66"/>
    </row>
    <row r="38" spans="1:7" x14ac:dyDescent="0.25">
      <c r="A38" s="84" t="s">
        <v>2010</v>
      </c>
      <c r="B38" s="88">
        <v>194160.09750219999</v>
      </c>
      <c r="C38" s="56"/>
      <c r="D38" s="56"/>
      <c r="E38" s="56"/>
      <c r="F38" s="56"/>
      <c r="G38" s="66"/>
    </row>
    <row r="39" spans="1:7" ht="30" x14ac:dyDescent="0.25">
      <c r="A39" s="84" t="s">
        <v>2012</v>
      </c>
      <c r="B39" s="85" t="s">
        <v>85</v>
      </c>
      <c r="C39" s="56"/>
      <c r="D39" s="56"/>
      <c r="E39" s="56"/>
      <c r="F39" s="56"/>
      <c r="G39" s="66"/>
    </row>
    <row r="40" spans="1:7" ht="30" x14ac:dyDescent="0.25">
      <c r="A40" s="84" t="s">
        <v>1561</v>
      </c>
      <c r="B40" s="85" t="s">
        <v>85</v>
      </c>
      <c r="C40" s="56"/>
      <c r="D40" s="56"/>
      <c r="E40" s="56"/>
      <c r="F40" s="56"/>
      <c r="G40" s="66"/>
    </row>
    <row r="41" spans="1:7" x14ac:dyDescent="0.25">
      <c r="A41" s="84" t="s">
        <v>2038</v>
      </c>
      <c r="B41" s="85" t="s">
        <v>85</v>
      </c>
      <c r="C41" s="56"/>
      <c r="D41" s="56"/>
      <c r="E41" s="56"/>
      <c r="F41" s="56"/>
      <c r="G41" s="66"/>
    </row>
    <row r="42" spans="1:7" x14ac:dyDescent="0.25">
      <c r="A42" s="54" t="s">
        <v>2039</v>
      </c>
      <c r="B42" s="85" t="s">
        <v>85</v>
      </c>
      <c r="C42" s="56"/>
      <c r="D42" s="56"/>
      <c r="E42" s="56"/>
      <c r="F42" s="56"/>
      <c r="G42" s="66"/>
    </row>
    <row r="43" spans="1:7" x14ac:dyDescent="0.25">
      <c r="A43" s="54"/>
      <c r="B43" s="85"/>
      <c r="C43" s="56"/>
      <c r="D43" s="56"/>
      <c r="E43" s="56"/>
      <c r="F43" s="56"/>
      <c r="G43" s="66"/>
    </row>
    <row r="44" spans="1:7" ht="15.75" thickBot="1" x14ac:dyDescent="0.3">
      <c r="A44" s="89"/>
      <c r="B44" s="90"/>
      <c r="C44" s="90"/>
      <c r="D44" s="90"/>
      <c r="E44" s="90"/>
      <c r="F44" s="90"/>
      <c r="G44" s="91"/>
    </row>
    <row r="47" spans="1:7" ht="30" x14ac:dyDescent="0.25">
      <c r="A47" s="107" t="s">
        <v>2042</v>
      </c>
      <c r="B47" s="108" t="s">
        <v>2043</v>
      </c>
      <c r="C47" s="108" t="s">
        <v>2044</v>
      </c>
      <c r="D47" s="109" t="s">
        <v>2045</v>
      </c>
    </row>
    <row r="48" spans="1:7" ht="51.75" customHeight="1" x14ac:dyDescent="0.25">
      <c r="A48" s="110" t="str">
        <f>HYPERLINK("[EDEL_Portfolio Monthly 31-Mar-2022.xlsx]EOUSTF!A1","EDELWEISS US TECHNOLOGY EQUITY FOF")</f>
        <v>EDELWEISS US TECHNOLOGY EQUITY FOF</v>
      </c>
      <c r="B48" s="111"/>
      <c r="C48" s="112" t="s">
        <v>2080</v>
      </c>
      <c r="D48" s="111"/>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E6858-5713-489F-86F0-95066E01F19C}">
  <dimension ref="A2:Q340"/>
  <sheetViews>
    <sheetView topLeftCell="H1" zoomScaleNormal="100" zoomScaleSheetLayoutView="100" workbookViewId="0">
      <selection activeCell="M2" sqref="M2"/>
    </sheetView>
  </sheetViews>
  <sheetFormatPr defaultColWidth="9.140625" defaultRowHeight="15" customHeight="1" x14ac:dyDescent="0.25"/>
  <cols>
    <col min="1" max="1" width="0" style="118" hidden="1" customWidth="1"/>
    <col min="2" max="2" width="1.5703125" style="118" customWidth="1"/>
    <col min="3" max="3" width="9.140625" style="118"/>
    <col min="4" max="4" width="39.42578125" style="118" customWidth="1"/>
    <col min="5" max="5" width="48.42578125" style="118" customWidth="1"/>
    <col min="6" max="10" width="30.5703125" style="118" customWidth="1"/>
    <col min="11" max="11" width="34.28515625" style="118" bestFit="1" customWidth="1"/>
    <col min="12" max="12" width="3.42578125" style="118" customWidth="1"/>
    <col min="13" max="13" width="9.85546875" style="118" bestFit="1" customWidth="1"/>
    <col min="14" max="14" width="14.5703125" style="118" hidden="1" customWidth="1"/>
    <col min="15" max="15" width="16" style="118" hidden="1" customWidth="1"/>
    <col min="16" max="16" width="15.85546875" style="118" hidden="1" customWidth="1"/>
    <col min="17" max="18" width="0" style="118" hidden="1" customWidth="1"/>
    <col min="19" max="16384" width="9.140625" style="118"/>
  </cols>
  <sheetData>
    <row r="2" spans="3:17" ht="15" customHeight="1" x14ac:dyDescent="0.25">
      <c r="M2" s="46" t="str">
        <f>HYPERLINK("[EDEL_Portfolio HY 31032022.xlsx]Index!A1","Index")</f>
        <v>Index</v>
      </c>
    </row>
    <row r="3" spans="3:17" ht="15" customHeight="1" x14ac:dyDescent="0.25">
      <c r="C3" s="116" t="s">
        <v>2084</v>
      </c>
      <c r="D3" s="117" t="s">
        <v>2085</v>
      </c>
    </row>
    <row r="5" spans="3:17" ht="15" customHeight="1" x14ac:dyDescent="0.25">
      <c r="C5" s="116" t="s">
        <v>2086</v>
      </c>
      <c r="D5" s="117" t="s">
        <v>2087</v>
      </c>
    </row>
    <row r="6" spans="3:17" ht="15" customHeight="1" x14ac:dyDescent="0.25">
      <c r="D6" s="119" t="s">
        <v>2088</v>
      </c>
      <c r="E6" s="120" t="s">
        <v>2089</v>
      </c>
      <c r="F6" s="121" t="s">
        <v>2090</v>
      </c>
      <c r="G6" s="119" t="s">
        <v>2</v>
      </c>
      <c r="H6" s="120" t="s">
        <v>2091</v>
      </c>
      <c r="I6" s="119" t="s">
        <v>2092</v>
      </c>
      <c r="J6" s="119" t="s">
        <v>2093</v>
      </c>
    </row>
    <row r="7" spans="3:17" ht="15" customHeight="1" x14ac:dyDescent="0.25">
      <c r="D7" s="122" t="s">
        <v>2094</v>
      </c>
      <c r="E7" s="122" t="s">
        <v>2095</v>
      </c>
      <c r="F7" s="122" t="s">
        <v>2096</v>
      </c>
      <c r="G7" s="123">
        <v>26950</v>
      </c>
      <c r="H7" s="124">
        <v>1549.619598</v>
      </c>
      <c r="I7" s="124">
        <v>1510.9</v>
      </c>
      <c r="J7" s="124">
        <v>121.22729849999999</v>
      </c>
      <c r="K7" s="125"/>
      <c r="N7" s="126"/>
      <c r="O7" s="127">
        <f>G7*I7</f>
        <v>40718755</v>
      </c>
      <c r="P7" s="128"/>
      <c r="Q7" s="128"/>
    </row>
    <row r="8" spans="3:17" ht="15" customHeight="1" x14ac:dyDescent="0.25">
      <c r="D8" s="122" t="s">
        <v>2097</v>
      </c>
      <c r="E8" s="122" t="s">
        <v>2098</v>
      </c>
      <c r="F8" s="122" t="s">
        <v>2096</v>
      </c>
      <c r="G8" s="123">
        <v>33150</v>
      </c>
      <c r="H8" s="124">
        <v>949.11665100000005</v>
      </c>
      <c r="I8" s="124">
        <v>959.05</v>
      </c>
      <c r="J8" s="124">
        <v>74.629517625000005</v>
      </c>
      <c r="K8" s="125"/>
      <c r="N8" s="126"/>
      <c r="O8" s="127">
        <f t="shared" ref="O8:O71" si="0">G8*I8</f>
        <v>31792507.5</v>
      </c>
      <c r="P8" s="128"/>
      <c r="Q8" s="128"/>
    </row>
    <row r="9" spans="3:17" ht="15" customHeight="1" x14ac:dyDescent="0.25">
      <c r="D9" s="122" t="s">
        <v>2097</v>
      </c>
      <c r="E9" s="122" t="s">
        <v>2099</v>
      </c>
      <c r="F9" s="122" t="s">
        <v>2096</v>
      </c>
      <c r="G9" s="123">
        <v>13250</v>
      </c>
      <c r="H9" s="124">
        <v>2033.0858189999999</v>
      </c>
      <c r="I9" s="124">
        <v>2150.4499999999998</v>
      </c>
      <c r="J9" s="124">
        <v>61.444991874999999</v>
      </c>
      <c r="K9" s="125"/>
      <c r="N9" s="126"/>
      <c r="O9" s="127">
        <f t="shared" si="0"/>
        <v>28493462.499999996</v>
      </c>
      <c r="P9" s="128"/>
      <c r="Q9" s="128"/>
    </row>
    <row r="10" spans="3:17" ht="15" customHeight="1" x14ac:dyDescent="0.25">
      <c r="D10" s="122" t="s">
        <v>2097</v>
      </c>
      <c r="E10" s="122" t="s">
        <v>2100</v>
      </c>
      <c r="F10" s="122" t="s">
        <v>2096</v>
      </c>
      <c r="G10" s="123">
        <v>1050</v>
      </c>
      <c r="H10" s="124">
        <v>17305.37859</v>
      </c>
      <c r="I10" s="124">
        <v>17675.95</v>
      </c>
      <c r="J10" s="124">
        <v>35.426561624999998</v>
      </c>
      <c r="K10" s="125"/>
      <c r="N10" s="126"/>
      <c r="O10" s="127">
        <f t="shared" si="0"/>
        <v>18559747.5</v>
      </c>
      <c r="P10" s="128"/>
      <c r="Q10" s="128"/>
    </row>
    <row r="11" spans="3:17" ht="15" customHeight="1" x14ac:dyDescent="0.25">
      <c r="D11" s="122" t="s">
        <v>2097</v>
      </c>
      <c r="E11" s="122" t="s">
        <v>2101</v>
      </c>
      <c r="F11" s="122" t="s">
        <v>2096</v>
      </c>
      <c r="G11" s="123">
        <v>34500</v>
      </c>
      <c r="H11" s="124">
        <v>2109.9756830000001</v>
      </c>
      <c r="I11" s="124">
        <v>2108.1999999999998</v>
      </c>
      <c r="J11" s="124">
        <v>140.586465</v>
      </c>
      <c r="K11" s="125"/>
      <c r="N11" s="126"/>
      <c r="O11" s="127">
        <f t="shared" si="0"/>
        <v>72732900</v>
      </c>
      <c r="P11" s="128"/>
      <c r="Q11" s="128"/>
    </row>
    <row r="12" spans="3:17" ht="15" customHeight="1" x14ac:dyDescent="0.25">
      <c r="D12" s="122" t="s">
        <v>2097</v>
      </c>
      <c r="E12" s="122" t="s">
        <v>2102</v>
      </c>
      <c r="F12" s="122" t="s">
        <v>2096</v>
      </c>
      <c r="G12" s="123">
        <v>788500</v>
      </c>
      <c r="H12" s="124">
        <v>1896.0863179999999</v>
      </c>
      <c r="I12" s="124">
        <v>2020.7</v>
      </c>
      <c r="J12" s="124">
        <v>4456.1643825000001</v>
      </c>
      <c r="K12" s="125"/>
      <c r="N12" s="126"/>
      <c r="O12" s="127">
        <f t="shared" si="0"/>
        <v>1593321950</v>
      </c>
      <c r="P12" s="128"/>
      <c r="Q12" s="128"/>
    </row>
    <row r="13" spans="3:17" ht="15" customHeight="1" x14ac:dyDescent="0.25">
      <c r="D13" s="122" t="s">
        <v>2097</v>
      </c>
      <c r="E13" s="122" t="s">
        <v>2103</v>
      </c>
      <c r="F13" s="122" t="s">
        <v>2096</v>
      </c>
      <c r="G13" s="123">
        <v>3753750</v>
      </c>
      <c r="H13" s="124">
        <v>745.31038100000001</v>
      </c>
      <c r="I13" s="124">
        <v>777.85</v>
      </c>
      <c r="J13" s="124">
        <v>11340.163209374999</v>
      </c>
      <c r="K13" s="125"/>
      <c r="N13" s="126"/>
      <c r="O13" s="127">
        <f t="shared" si="0"/>
        <v>2919854437.5</v>
      </c>
      <c r="P13" s="128"/>
      <c r="Q13" s="128"/>
    </row>
    <row r="14" spans="3:17" ht="15" customHeight="1" x14ac:dyDescent="0.25">
      <c r="D14" s="122" t="s">
        <v>2097</v>
      </c>
      <c r="E14" s="122" t="s">
        <v>2104</v>
      </c>
      <c r="F14" s="122" t="s">
        <v>2096</v>
      </c>
      <c r="G14" s="123">
        <v>770000</v>
      </c>
      <c r="H14" s="124">
        <v>109.67229399999999</v>
      </c>
      <c r="I14" s="124">
        <v>108.35</v>
      </c>
      <c r="J14" s="124">
        <v>219.005325</v>
      </c>
      <c r="K14" s="125"/>
      <c r="N14" s="126"/>
      <c r="O14" s="127">
        <f t="shared" si="0"/>
        <v>83429500</v>
      </c>
      <c r="P14" s="128"/>
      <c r="Q14" s="128"/>
    </row>
    <row r="15" spans="3:17" ht="15" customHeight="1" x14ac:dyDescent="0.25">
      <c r="D15" s="122" t="s">
        <v>2097</v>
      </c>
      <c r="E15" s="122" t="s">
        <v>2105</v>
      </c>
      <c r="F15" s="122" t="s">
        <v>2096</v>
      </c>
      <c r="G15" s="123">
        <v>86800</v>
      </c>
      <c r="H15" s="124">
        <v>760.40804400000002</v>
      </c>
      <c r="I15" s="124">
        <v>745.95</v>
      </c>
      <c r="J15" s="124">
        <v>135.69292099999998</v>
      </c>
      <c r="K15" s="125"/>
      <c r="N15" s="126"/>
      <c r="O15" s="127">
        <f t="shared" si="0"/>
        <v>64748460.000000007</v>
      </c>
      <c r="P15" s="128"/>
      <c r="Q15" s="128"/>
    </row>
    <row r="16" spans="3:17" ht="15" customHeight="1" x14ac:dyDescent="0.25">
      <c r="D16" s="122" t="s">
        <v>2097</v>
      </c>
      <c r="E16" s="122" t="s">
        <v>2106</v>
      </c>
      <c r="F16" s="122" t="s">
        <v>2096</v>
      </c>
      <c r="G16" s="123">
        <v>203000</v>
      </c>
      <c r="H16" s="124">
        <v>549.56745799999999</v>
      </c>
      <c r="I16" s="124">
        <v>539.70000000000005</v>
      </c>
      <c r="J16" s="124">
        <v>214.63088500000001</v>
      </c>
      <c r="K16" s="125"/>
      <c r="N16" s="126"/>
      <c r="O16" s="127">
        <f t="shared" si="0"/>
        <v>109559100.00000001</v>
      </c>
      <c r="P16" s="128"/>
      <c r="Q16" s="128"/>
    </row>
    <row r="17" spans="4:17" ht="15" customHeight="1" x14ac:dyDescent="0.25">
      <c r="D17" s="122" t="s">
        <v>2097</v>
      </c>
      <c r="E17" s="122" t="s">
        <v>2107</v>
      </c>
      <c r="F17" s="122" t="s">
        <v>2096</v>
      </c>
      <c r="G17" s="123">
        <v>862500</v>
      </c>
      <c r="H17" s="124">
        <v>299.68797799999999</v>
      </c>
      <c r="I17" s="124">
        <v>300.85000000000002</v>
      </c>
      <c r="J17" s="124">
        <v>657.39534375000005</v>
      </c>
      <c r="K17" s="125"/>
      <c r="N17" s="126"/>
      <c r="O17" s="127">
        <f t="shared" si="0"/>
        <v>259483125.00000003</v>
      </c>
      <c r="P17" s="128"/>
      <c r="Q17" s="128"/>
    </row>
    <row r="18" spans="4:17" ht="15" customHeight="1" x14ac:dyDescent="0.25">
      <c r="D18" s="122" t="s">
        <v>2097</v>
      </c>
      <c r="E18" s="122" t="s">
        <v>2108</v>
      </c>
      <c r="F18" s="122" t="s">
        <v>2096</v>
      </c>
      <c r="G18" s="123">
        <v>33625</v>
      </c>
      <c r="H18" s="124">
        <v>4623.1111350000001</v>
      </c>
      <c r="I18" s="124">
        <v>4542.5</v>
      </c>
      <c r="J18" s="124">
        <v>378.50233687500003</v>
      </c>
      <c r="K18" s="125"/>
      <c r="N18" s="126"/>
      <c r="O18" s="127">
        <f t="shared" si="0"/>
        <v>152741562.5</v>
      </c>
      <c r="P18" s="128"/>
      <c r="Q18" s="128"/>
    </row>
    <row r="19" spans="4:17" ht="15" customHeight="1" x14ac:dyDescent="0.25">
      <c r="D19" s="122" t="s">
        <v>2097</v>
      </c>
      <c r="E19" s="122" t="s">
        <v>2109</v>
      </c>
      <c r="F19" s="122" t="s">
        <v>2096</v>
      </c>
      <c r="G19" s="123">
        <v>760000</v>
      </c>
      <c r="H19" s="124">
        <v>187.527243</v>
      </c>
      <c r="I19" s="124">
        <v>192</v>
      </c>
      <c r="J19" s="124">
        <v>357.2</v>
      </c>
      <c r="K19" s="125"/>
      <c r="N19" s="126"/>
      <c r="O19" s="127">
        <f t="shared" si="0"/>
        <v>145920000</v>
      </c>
      <c r="P19" s="128"/>
      <c r="Q19" s="128"/>
    </row>
    <row r="20" spans="4:17" ht="15" customHeight="1" x14ac:dyDescent="0.25">
      <c r="D20" s="122" t="s">
        <v>2097</v>
      </c>
      <c r="E20" s="122" t="s">
        <v>2110</v>
      </c>
      <c r="F20" s="122" t="s">
        <v>2096</v>
      </c>
      <c r="G20" s="123">
        <v>616500</v>
      </c>
      <c r="H20" s="124">
        <v>113.973355</v>
      </c>
      <c r="I20" s="124">
        <v>117.9</v>
      </c>
      <c r="J20" s="124">
        <v>233.69357249999999</v>
      </c>
      <c r="K20" s="125"/>
      <c r="N20" s="126"/>
      <c r="O20" s="127">
        <f t="shared" si="0"/>
        <v>72685350</v>
      </c>
      <c r="P20" s="128"/>
      <c r="Q20" s="128"/>
    </row>
    <row r="21" spans="4:17" ht="15" customHeight="1" x14ac:dyDescent="0.25">
      <c r="D21" s="122" t="s">
        <v>2097</v>
      </c>
      <c r="E21" s="122" t="s">
        <v>2111</v>
      </c>
      <c r="F21" s="122" t="s">
        <v>2096</v>
      </c>
      <c r="G21" s="123">
        <v>3150</v>
      </c>
      <c r="H21" s="124">
        <v>3066.3476000000001</v>
      </c>
      <c r="I21" s="124">
        <v>3097.45</v>
      </c>
      <c r="J21" s="124">
        <v>18.403268624999999</v>
      </c>
      <c r="K21" s="125"/>
      <c r="N21" s="126"/>
      <c r="O21" s="127">
        <f t="shared" si="0"/>
        <v>9756967.5</v>
      </c>
      <c r="P21" s="128"/>
      <c r="Q21" s="128"/>
    </row>
    <row r="22" spans="4:17" ht="15" customHeight="1" x14ac:dyDescent="0.25">
      <c r="D22" s="122" t="s">
        <v>2097</v>
      </c>
      <c r="E22" s="122" t="s">
        <v>2112</v>
      </c>
      <c r="F22" s="122" t="s">
        <v>2096</v>
      </c>
      <c r="G22" s="123">
        <v>37950</v>
      </c>
      <c r="H22" s="124">
        <v>2023.413759</v>
      </c>
      <c r="I22" s="124">
        <v>2017.85</v>
      </c>
      <c r="J22" s="124">
        <v>192.434872625</v>
      </c>
      <c r="K22" s="125"/>
      <c r="N22" s="126"/>
      <c r="O22" s="127">
        <f t="shared" si="0"/>
        <v>76577407.5</v>
      </c>
      <c r="P22" s="128"/>
      <c r="Q22" s="128"/>
    </row>
    <row r="23" spans="4:17" ht="15" customHeight="1" x14ac:dyDescent="0.25">
      <c r="D23" s="122" t="s">
        <v>2097</v>
      </c>
      <c r="E23" s="122" t="s">
        <v>2113</v>
      </c>
      <c r="F23" s="122" t="s">
        <v>2096</v>
      </c>
      <c r="G23" s="123">
        <v>48000</v>
      </c>
      <c r="H23" s="124">
        <v>1233.8593880000001</v>
      </c>
      <c r="I23" s="124">
        <v>1253.7</v>
      </c>
      <c r="J23" s="124">
        <v>168.05256</v>
      </c>
      <c r="K23" s="125"/>
      <c r="N23" s="126"/>
      <c r="O23" s="127">
        <f t="shared" si="0"/>
        <v>60177600</v>
      </c>
      <c r="P23" s="128"/>
      <c r="Q23" s="128"/>
    </row>
    <row r="24" spans="4:17" ht="15" customHeight="1" x14ac:dyDescent="0.25">
      <c r="D24" s="122" t="s">
        <v>2097</v>
      </c>
      <c r="E24" s="122" t="s">
        <v>2114</v>
      </c>
      <c r="F24" s="122" t="s">
        <v>2096</v>
      </c>
      <c r="G24" s="123">
        <v>88500</v>
      </c>
      <c r="H24" s="124">
        <v>681.26480700000002</v>
      </c>
      <c r="I24" s="124">
        <v>672.6</v>
      </c>
      <c r="J24" s="124">
        <v>197.66563500000001</v>
      </c>
      <c r="K24" s="125"/>
      <c r="N24" s="126"/>
      <c r="O24" s="127">
        <f t="shared" si="0"/>
        <v>59525100</v>
      </c>
      <c r="P24" s="128"/>
      <c r="Q24" s="128"/>
    </row>
    <row r="25" spans="4:17" ht="15" customHeight="1" x14ac:dyDescent="0.25">
      <c r="D25" s="122" t="s">
        <v>2097</v>
      </c>
      <c r="E25" s="122" t="s">
        <v>2115</v>
      </c>
      <c r="F25" s="122" t="s">
        <v>2096</v>
      </c>
      <c r="G25" s="123">
        <v>763200</v>
      </c>
      <c r="H25" s="124">
        <v>741.39409000000001</v>
      </c>
      <c r="I25" s="124">
        <v>763.2</v>
      </c>
      <c r="J25" s="124">
        <v>1436.0523840000001</v>
      </c>
      <c r="K25" s="125"/>
      <c r="N25" s="126"/>
      <c r="O25" s="127">
        <f t="shared" si="0"/>
        <v>582474240</v>
      </c>
      <c r="P25" s="128"/>
      <c r="Q25" s="128"/>
    </row>
    <row r="26" spans="4:17" ht="15" customHeight="1" x14ac:dyDescent="0.25">
      <c r="D26" s="122" t="s">
        <v>2097</v>
      </c>
      <c r="E26" s="122" t="s">
        <v>2116</v>
      </c>
      <c r="F26" s="122" t="s">
        <v>2096</v>
      </c>
      <c r="G26" s="123">
        <v>72750</v>
      </c>
      <c r="H26" s="124">
        <v>7274.7260919999999</v>
      </c>
      <c r="I26" s="124">
        <v>7304.75</v>
      </c>
      <c r="J26" s="124">
        <v>1285.955376875</v>
      </c>
      <c r="K26" s="125"/>
      <c r="N26" s="126"/>
      <c r="O26" s="127">
        <f t="shared" si="0"/>
        <v>531420562.5</v>
      </c>
      <c r="P26" s="128"/>
      <c r="Q26" s="128"/>
    </row>
    <row r="27" spans="4:17" ht="15" customHeight="1" x14ac:dyDescent="0.25">
      <c r="D27" s="122" t="s">
        <v>2097</v>
      </c>
      <c r="E27" s="122" t="s">
        <v>2117</v>
      </c>
      <c r="F27" s="122" t="s">
        <v>2096</v>
      </c>
      <c r="G27" s="123">
        <v>2350</v>
      </c>
      <c r="H27" s="124">
        <v>17168.821276999999</v>
      </c>
      <c r="I27" s="124">
        <v>17150.5</v>
      </c>
      <c r="J27" s="124">
        <v>115.55085625</v>
      </c>
      <c r="K27" s="125"/>
      <c r="N27" s="126"/>
      <c r="O27" s="127">
        <f t="shared" si="0"/>
        <v>40303675</v>
      </c>
      <c r="P27" s="128"/>
      <c r="Q27" s="128"/>
    </row>
    <row r="28" spans="4:17" ht="15" customHeight="1" x14ac:dyDescent="0.25">
      <c r="D28" s="122" t="s">
        <v>2097</v>
      </c>
      <c r="E28" s="122" t="s">
        <v>2118</v>
      </c>
      <c r="F28" s="122" t="s">
        <v>2096</v>
      </c>
      <c r="G28" s="123">
        <v>42400</v>
      </c>
      <c r="H28" s="124">
        <v>2147.7499750000002</v>
      </c>
      <c r="I28" s="124">
        <v>2144.1</v>
      </c>
      <c r="J28" s="124">
        <v>206.40044399999999</v>
      </c>
      <c r="K28" s="125"/>
      <c r="N28" s="126"/>
      <c r="O28" s="127">
        <f t="shared" si="0"/>
        <v>90909840</v>
      </c>
      <c r="P28" s="128"/>
      <c r="Q28" s="128"/>
    </row>
    <row r="29" spans="4:17" ht="15" customHeight="1" x14ac:dyDescent="0.25">
      <c r="D29" s="122" t="s">
        <v>2097</v>
      </c>
      <c r="E29" s="122" t="s">
        <v>2119</v>
      </c>
      <c r="F29" s="122" t="s">
        <v>2096</v>
      </c>
      <c r="G29" s="123">
        <v>446400</v>
      </c>
      <c r="H29" s="124">
        <v>482.90266600000001</v>
      </c>
      <c r="I29" s="124">
        <v>491.65</v>
      </c>
      <c r="J29" s="124">
        <v>679.41075599999999</v>
      </c>
      <c r="K29" s="125"/>
      <c r="N29" s="126"/>
      <c r="O29" s="127">
        <f t="shared" si="0"/>
        <v>219472560</v>
      </c>
      <c r="P29" s="128"/>
      <c r="Q29" s="128"/>
    </row>
    <row r="30" spans="4:17" ht="15" customHeight="1" x14ac:dyDescent="0.25">
      <c r="D30" s="122" t="s">
        <v>2097</v>
      </c>
      <c r="E30" s="122" t="s">
        <v>2120</v>
      </c>
      <c r="F30" s="122" t="s">
        <v>2096</v>
      </c>
      <c r="G30" s="123">
        <v>2064600</v>
      </c>
      <c r="H30" s="124">
        <v>304.99248</v>
      </c>
      <c r="I30" s="124">
        <v>309.45</v>
      </c>
      <c r="J30" s="124">
        <v>2862.5833844999997</v>
      </c>
      <c r="K30" s="125"/>
      <c r="N30" s="126"/>
      <c r="O30" s="127">
        <f t="shared" si="0"/>
        <v>638890470</v>
      </c>
      <c r="P30" s="128"/>
      <c r="Q30" s="128"/>
    </row>
    <row r="31" spans="4:17" ht="15" customHeight="1" x14ac:dyDescent="0.25">
      <c r="D31" s="122" t="s">
        <v>2097</v>
      </c>
      <c r="E31" s="122" t="s">
        <v>2121</v>
      </c>
      <c r="F31" s="122" t="s">
        <v>2096</v>
      </c>
      <c r="G31" s="123">
        <v>1041300</v>
      </c>
      <c r="H31" s="124">
        <v>111.100009</v>
      </c>
      <c r="I31" s="124">
        <v>112.3</v>
      </c>
      <c r="J31" s="124">
        <v>436.30990650000001</v>
      </c>
      <c r="K31" s="125"/>
      <c r="N31" s="126"/>
      <c r="O31" s="127">
        <f t="shared" si="0"/>
        <v>116937990</v>
      </c>
      <c r="P31" s="128"/>
      <c r="Q31" s="128"/>
    </row>
    <row r="32" spans="4:17" ht="15" customHeight="1" x14ac:dyDescent="0.25">
      <c r="D32" s="122" t="s">
        <v>2097</v>
      </c>
      <c r="E32" s="122" t="s">
        <v>2122</v>
      </c>
      <c r="F32" s="122" t="s">
        <v>2096</v>
      </c>
      <c r="G32" s="123">
        <v>46200</v>
      </c>
      <c r="H32" s="124">
        <v>1969.136843</v>
      </c>
      <c r="I32" s="124">
        <v>1974</v>
      </c>
      <c r="J32" s="124">
        <v>184.67526000000001</v>
      </c>
      <c r="K32" s="125"/>
      <c r="N32" s="126"/>
      <c r="O32" s="127">
        <f t="shared" si="0"/>
        <v>91198800</v>
      </c>
      <c r="P32" s="128"/>
      <c r="Q32" s="128"/>
    </row>
    <row r="33" spans="4:17" ht="15" customHeight="1" x14ac:dyDescent="0.25">
      <c r="D33" s="122" t="s">
        <v>2097</v>
      </c>
      <c r="E33" s="122" t="s">
        <v>2123</v>
      </c>
      <c r="F33" s="122" t="s">
        <v>2096</v>
      </c>
      <c r="G33" s="123">
        <v>4400</v>
      </c>
      <c r="H33" s="124">
        <v>684.8</v>
      </c>
      <c r="I33" s="124">
        <v>701.9</v>
      </c>
      <c r="J33" s="124">
        <v>5.7488859999999997</v>
      </c>
      <c r="K33" s="125"/>
      <c r="N33" s="126"/>
      <c r="O33" s="127">
        <f t="shared" si="0"/>
        <v>3088360</v>
      </c>
      <c r="P33" s="128"/>
      <c r="Q33" s="128"/>
    </row>
    <row r="34" spans="4:17" ht="15" customHeight="1" x14ac:dyDescent="0.25">
      <c r="D34" s="122" t="s">
        <v>2097</v>
      </c>
      <c r="E34" s="122" t="s">
        <v>2124</v>
      </c>
      <c r="F34" s="122" t="s">
        <v>2096</v>
      </c>
      <c r="G34" s="123">
        <v>1352800</v>
      </c>
      <c r="H34" s="124">
        <v>208.78618900000001</v>
      </c>
      <c r="I34" s="124">
        <v>212.15</v>
      </c>
      <c r="J34" s="124">
        <v>671.05982200000005</v>
      </c>
      <c r="K34" s="125"/>
      <c r="N34" s="126"/>
      <c r="O34" s="127">
        <f t="shared" si="0"/>
        <v>286996520</v>
      </c>
      <c r="P34" s="128"/>
      <c r="Q34" s="128"/>
    </row>
    <row r="35" spans="4:17" ht="15" customHeight="1" x14ac:dyDescent="0.25">
      <c r="D35" s="122" t="s">
        <v>2097</v>
      </c>
      <c r="E35" s="122" t="s">
        <v>2125</v>
      </c>
      <c r="F35" s="122" t="s">
        <v>2096</v>
      </c>
      <c r="G35" s="123">
        <v>333750</v>
      </c>
      <c r="H35" s="124">
        <v>711.27021200000001</v>
      </c>
      <c r="I35" s="124">
        <v>705.4</v>
      </c>
      <c r="J35" s="124">
        <v>552.51978750000001</v>
      </c>
      <c r="K35" s="125"/>
      <c r="N35" s="126"/>
      <c r="O35" s="127">
        <f t="shared" si="0"/>
        <v>235427250</v>
      </c>
      <c r="P35" s="128"/>
      <c r="Q35" s="128"/>
    </row>
    <row r="36" spans="4:17" ht="15" customHeight="1" x14ac:dyDescent="0.25">
      <c r="D36" s="122" t="s">
        <v>2097</v>
      </c>
      <c r="E36" s="122" t="s">
        <v>2126</v>
      </c>
      <c r="F36" s="122" t="s">
        <v>2096</v>
      </c>
      <c r="G36" s="129">
        <v>2142000</v>
      </c>
      <c r="H36" s="124">
        <v>51.051411999999999</v>
      </c>
      <c r="I36" s="124">
        <v>49.75</v>
      </c>
      <c r="J36" s="124">
        <v>389.48253749999998</v>
      </c>
      <c r="K36" s="125"/>
      <c r="N36" s="126"/>
      <c r="O36" s="127">
        <f t="shared" si="0"/>
        <v>106564500</v>
      </c>
      <c r="P36" s="128"/>
      <c r="Q36" s="128"/>
    </row>
    <row r="37" spans="4:17" ht="15" customHeight="1" x14ac:dyDescent="0.25">
      <c r="D37" s="122" t="s">
        <v>2097</v>
      </c>
      <c r="E37" s="122" t="s">
        <v>2127</v>
      </c>
      <c r="F37" s="122" t="s">
        <v>2096</v>
      </c>
      <c r="G37" s="123">
        <v>345600</v>
      </c>
      <c r="H37" s="124">
        <v>358.67157700000001</v>
      </c>
      <c r="I37" s="124">
        <v>361.7</v>
      </c>
      <c r="J37" s="124">
        <v>548.22355200000004</v>
      </c>
      <c r="K37" s="125"/>
      <c r="N37" s="126"/>
      <c r="O37" s="127">
        <f t="shared" si="0"/>
        <v>125003520</v>
      </c>
      <c r="P37" s="128"/>
      <c r="Q37" s="128"/>
    </row>
    <row r="38" spans="4:17" ht="15" customHeight="1" x14ac:dyDescent="0.25">
      <c r="D38" s="122" t="s">
        <v>2097</v>
      </c>
      <c r="E38" s="122" t="s">
        <v>2128</v>
      </c>
      <c r="F38" s="122" t="s">
        <v>2096</v>
      </c>
      <c r="G38" s="123">
        <v>2183100</v>
      </c>
      <c r="H38" s="124">
        <v>733.12401899999998</v>
      </c>
      <c r="I38" s="124">
        <v>757.3</v>
      </c>
      <c r="J38" s="124">
        <v>4104.1297605</v>
      </c>
      <c r="K38" s="125"/>
      <c r="N38" s="126"/>
      <c r="O38" s="127">
        <f t="shared" si="0"/>
        <v>1653261630</v>
      </c>
      <c r="P38" s="128"/>
      <c r="Q38" s="128"/>
    </row>
    <row r="39" spans="4:17" ht="15" customHeight="1" x14ac:dyDescent="0.25">
      <c r="D39" s="122" t="s">
        <v>2097</v>
      </c>
      <c r="E39" s="122" t="s">
        <v>2129</v>
      </c>
      <c r="F39" s="122" t="s">
        <v>2096</v>
      </c>
      <c r="G39" s="123">
        <v>476100</v>
      </c>
      <c r="H39" s="124">
        <v>340.71761700000002</v>
      </c>
      <c r="I39" s="124">
        <v>337.7</v>
      </c>
      <c r="J39" s="124">
        <v>381.11566950000002</v>
      </c>
      <c r="K39" s="125"/>
      <c r="N39" s="126"/>
      <c r="O39" s="127">
        <f t="shared" si="0"/>
        <v>160778970</v>
      </c>
      <c r="P39" s="128"/>
      <c r="Q39" s="128"/>
    </row>
    <row r="40" spans="4:17" ht="15" customHeight="1" x14ac:dyDescent="0.25">
      <c r="D40" s="122" t="s">
        <v>2097</v>
      </c>
      <c r="E40" s="122" t="s">
        <v>2130</v>
      </c>
      <c r="F40" s="122" t="s">
        <v>2096</v>
      </c>
      <c r="G40" s="123">
        <v>13000</v>
      </c>
      <c r="H40" s="124">
        <v>457.74495999999999</v>
      </c>
      <c r="I40" s="124">
        <v>457.9</v>
      </c>
      <c r="J40" s="124">
        <v>17.051645000000001</v>
      </c>
      <c r="K40" s="125"/>
      <c r="N40" s="126"/>
      <c r="O40" s="127">
        <f t="shared" si="0"/>
        <v>5952700</v>
      </c>
      <c r="P40" s="128"/>
      <c r="Q40" s="128"/>
    </row>
    <row r="41" spans="4:17" ht="15" customHeight="1" x14ac:dyDescent="0.25">
      <c r="D41" s="122" t="s">
        <v>2097</v>
      </c>
      <c r="E41" s="122" t="s">
        <v>2131</v>
      </c>
      <c r="F41" s="122" t="s">
        <v>2096</v>
      </c>
      <c r="G41" s="123">
        <v>1400</v>
      </c>
      <c r="H41" s="124">
        <v>14226.567800000001</v>
      </c>
      <c r="I41" s="124">
        <v>14466.9</v>
      </c>
      <c r="J41" s="124">
        <v>45.321380999999995</v>
      </c>
      <c r="K41" s="125"/>
      <c r="N41" s="126"/>
      <c r="O41" s="127">
        <f t="shared" si="0"/>
        <v>20253660</v>
      </c>
      <c r="P41" s="128"/>
      <c r="Q41" s="128"/>
    </row>
    <row r="42" spans="4:17" ht="15" customHeight="1" x14ac:dyDescent="0.25">
      <c r="D42" s="122" t="s">
        <v>2097</v>
      </c>
      <c r="E42" s="122" t="s">
        <v>2132</v>
      </c>
      <c r="F42" s="122" t="s">
        <v>2096</v>
      </c>
      <c r="G42" s="123">
        <v>172575</v>
      </c>
      <c r="H42" s="124">
        <v>606.44969300000002</v>
      </c>
      <c r="I42" s="124">
        <v>632.4</v>
      </c>
      <c r="J42" s="124">
        <v>271.62270050000001</v>
      </c>
      <c r="K42" s="125"/>
      <c r="N42" s="126"/>
      <c r="O42" s="127">
        <f t="shared" si="0"/>
        <v>109136430</v>
      </c>
      <c r="P42" s="128"/>
      <c r="Q42" s="128"/>
    </row>
    <row r="43" spans="4:17" ht="15" customHeight="1" x14ac:dyDescent="0.25">
      <c r="D43" s="122" t="s">
        <v>2097</v>
      </c>
      <c r="E43" s="122" t="s">
        <v>2133</v>
      </c>
      <c r="F43" s="122" t="s">
        <v>2096</v>
      </c>
      <c r="G43" s="123">
        <v>637200</v>
      </c>
      <c r="H43" s="124">
        <v>229.31052600000001</v>
      </c>
      <c r="I43" s="124">
        <v>229.1</v>
      </c>
      <c r="J43" s="124">
        <v>408.05332200000004</v>
      </c>
      <c r="K43" s="125"/>
      <c r="N43" s="126"/>
      <c r="O43" s="127">
        <f t="shared" si="0"/>
        <v>145982520</v>
      </c>
      <c r="P43" s="128"/>
      <c r="Q43" s="128"/>
    </row>
    <row r="44" spans="4:17" ht="15" customHeight="1" x14ac:dyDescent="0.25">
      <c r="D44" s="122" t="s">
        <v>2097</v>
      </c>
      <c r="E44" s="122" t="s">
        <v>2134</v>
      </c>
      <c r="F44" s="122" t="s">
        <v>2096</v>
      </c>
      <c r="G44" s="123">
        <v>123000</v>
      </c>
      <c r="H44" s="124">
        <v>422.52616799999998</v>
      </c>
      <c r="I44" s="124">
        <v>424.05</v>
      </c>
      <c r="J44" s="124">
        <v>147.79895250000001</v>
      </c>
      <c r="K44" s="125"/>
      <c r="N44" s="126"/>
      <c r="O44" s="127">
        <f t="shared" si="0"/>
        <v>52158150</v>
      </c>
      <c r="P44" s="128"/>
      <c r="Q44" s="128"/>
    </row>
    <row r="45" spans="4:17" ht="15" customHeight="1" x14ac:dyDescent="0.25">
      <c r="D45" s="122" t="s">
        <v>2097</v>
      </c>
      <c r="E45" s="122" t="s">
        <v>2135</v>
      </c>
      <c r="F45" s="122" t="s">
        <v>2096</v>
      </c>
      <c r="G45" s="123">
        <v>120000</v>
      </c>
      <c r="H45" s="124">
        <v>723.99317599999995</v>
      </c>
      <c r="I45" s="124">
        <v>723.05</v>
      </c>
      <c r="J45" s="124">
        <v>247.1841</v>
      </c>
      <c r="K45" s="125"/>
      <c r="N45" s="126"/>
      <c r="O45" s="127">
        <f t="shared" si="0"/>
        <v>86766000</v>
      </c>
      <c r="P45" s="128"/>
      <c r="Q45" s="128"/>
    </row>
    <row r="46" spans="4:17" ht="15" customHeight="1" x14ac:dyDescent="0.25">
      <c r="D46" s="122" t="s">
        <v>2097</v>
      </c>
      <c r="E46" s="122" t="s">
        <v>2136</v>
      </c>
      <c r="F46" s="122" t="s">
        <v>2096</v>
      </c>
      <c r="G46" s="123">
        <v>232700</v>
      </c>
      <c r="H46" s="124">
        <v>1031.3585390000001</v>
      </c>
      <c r="I46" s="124">
        <v>1024.95</v>
      </c>
      <c r="J46" s="124">
        <v>532.49497274999999</v>
      </c>
      <c r="K46" s="125"/>
      <c r="N46" s="126"/>
      <c r="O46" s="127">
        <f t="shared" si="0"/>
        <v>238505865</v>
      </c>
      <c r="P46" s="128"/>
      <c r="Q46" s="128"/>
    </row>
    <row r="47" spans="4:17" ht="15" customHeight="1" x14ac:dyDescent="0.25">
      <c r="D47" s="122" t="s">
        <v>2097</v>
      </c>
      <c r="E47" s="122" t="s">
        <v>2137</v>
      </c>
      <c r="F47" s="122" t="s">
        <v>2096</v>
      </c>
      <c r="G47" s="123">
        <v>210800</v>
      </c>
      <c r="H47" s="124">
        <v>125.64030200000001</v>
      </c>
      <c r="I47" s="124">
        <v>129.55000000000001</v>
      </c>
      <c r="J47" s="124">
        <v>59.602119000000002</v>
      </c>
      <c r="K47" s="125"/>
      <c r="N47" s="126"/>
      <c r="O47" s="127">
        <f t="shared" si="0"/>
        <v>27309140.000000004</v>
      </c>
      <c r="P47" s="128"/>
      <c r="Q47" s="128"/>
    </row>
    <row r="48" spans="4:17" ht="15" customHeight="1" x14ac:dyDescent="0.25">
      <c r="D48" s="122" t="s">
        <v>2097</v>
      </c>
      <c r="E48" s="122" t="s">
        <v>2138</v>
      </c>
      <c r="F48" s="122" t="s">
        <v>2096</v>
      </c>
      <c r="G48" s="123">
        <v>113400</v>
      </c>
      <c r="H48" s="124">
        <v>193.188919</v>
      </c>
      <c r="I48" s="124">
        <v>184.15</v>
      </c>
      <c r="J48" s="124">
        <v>48.8133135</v>
      </c>
      <c r="K48" s="125"/>
      <c r="N48" s="126"/>
      <c r="O48" s="127">
        <f t="shared" si="0"/>
        <v>20882610</v>
      </c>
      <c r="P48" s="128"/>
      <c r="Q48" s="128"/>
    </row>
    <row r="49" spans="4:17" ht="15" customHeight="1" x14ac:dyDescent="0.25">
      <c r="D49" s="122" t="s">
        <v>2097</v>
      </c>
      <c r="E49" s="122" t="s">
        <v>2139</v>
      </c>
      <c r="F49" s="122" t="s">
        <v>2096</v>
      </c>
      <c r="G49" s="123">
        <v>119300</v>
      </c>
      <c r="H49" s="124">
        <v>4434.376921</v>
      </c>
      <c r="I49" s="124">
        <v>4473.1499999999996</v>
      </c>
      <c r="J49" s="124">
        <v>2500.3612782499999</v>
      </c>
      <c r="K49" s="125"/>
      <c r="N49" s="126"/>
      <c r="O49" s="127">
        <f t="shared" si="0"/>
        <v>533646794.99999994</v>
      </c>
      <c r="P49" s="128"/>
      <c r="Q49" s="128"/>
    </row>
    <row r="50" spans="4:17" ht="15" customHeight="1" x14ac:dyDescent="0.25">
      <c r="D50" s="122" t="s">
        <v>2097</v>
      </c>
      <c r="E50" s="122" t="s">
        <v>2140</v>
      </c>
      <c r="F50" s="122" t="s">
        <v>2096</v>
      </c>
      <c r="G50" s="123">
        <v>176800</v>
      </c>
      <c r="H50" s="124">
        <v>661.86989600000004</v>
      </c>
      <c r="I50" s="124">
        <v>675.55</v>
      </c>
      <c r="J50" s="124">
        <v>401.02527399999997</v>
      </c>
      <c r="K50" s="125"/>
      <c r="N50" s="126"/>
      <c r="O50" s="127">
        <f t="shared" si="0"/>
        <v>119437239.99999999</v>
      </c>
      <c r="P50" s="128"/>
      <c r="Q50" s="128"/>
    </row>
    <row r="51" spans="4:17" ht="15" customHeight="1" x14ac:dyDescent="0.25">
      <c r="D51" s="122" t="s">
        <v>2097</v>
      </c>
      <c r="E51" s="122" t="s">
        <v>2141</v>
      </c>
      <c r="F51" s="122" t="s">
        <v>2096</v>
      </c>
      <c r="G51" s="123">
        <v>45625</v>
      </c>
      <c r="H51" s="124">
        <v>811.96648000000005</v>
      </c>
      <c r="I51" s="124">
        <v>802.5</v>
      </c>
      <c r="J51" s="124">
        <v>72.040731875000006</v>
      </c>
      <c r="K51" s="125"/>
      <c r="N51" s="126"/>
      <c r="O51" s="127">
        <f t="shared" si="0"/>
        <v>36614062.5</v>
      </c>
      <c r="P51" s="128"/>
      <c r="Q51" s="128"/>
    </row>
    <row r="52" spans="4:17" ht="15" customHeight="1" x14ac:dyDescent="0.25">
      <c r="D52" s="122" t="s">
        <v>2097</v>
      </c>
      <c r="E52" s="122" t="s">
        <v>2142</v>
      </c>
      <c r="F52" s="122" t="s">
        <v>2096</v>
      </c>
      <c r="G52" s="123">
        <v>97900</v>
      </c>
      <c r="H52" s="124">
        <v>375.89380999999997</v>
      </c>
      <c r="I52" s="124">
        <v>374.8</v>
      </c>
      <c r="J52" s="124">
        <v>76.781012000000004</v>
      </c>
      <c r="K52" s="125"/>
      <c r="N52" s="126"/>
      <c r="O52" s="127">
        <f t="shared" si="0"/>
        <v>36692920</v>
      </c>
      <c r="P52" s="128"/>
      <c r="Q52" s="128"/>
    </row>
    <row r="53" spans="4:17" ht="15" customHeight="1" x14ac:dyDescent="0.25">
      <c r="D53" s="122" t="s">
        <v>2097</v>
      </c>
      <c r="E53" s="122" t="s">
        <v>2143</v>
      </c>
      <c r="F53" s="122" t="s">
        <v>2096</v>
      </c>
      <c r="G53" s="123">
        <v>31250</v>
      </c>
      <c r="H53" s="124">
        <v>525.25601600000005</v>
      </c>
      <c r="I53" s="124">
        <v>538.9</v>
      </c>
      <c r="J53" s="124">
        <v>29.722348749999998</v>
      </c>
      <c r="K53" s="125"/>
      <c r="N53" s="126"/>
      <c r="O53" s="127">
        <f t="shared" si="0"/>
        <v>16840625</v>
      </c>
      <c r="P53" s="128"/>
      <c r="Q53" s="128"/>
    </row>
    <row r="54" spans="4:17" ht="15" customHeight="1" x14ac:dyDescent="0.25">
      <c r="D54" s="122" t="s">
        <v>2097</v>
      </c>
      <c r="E54" s="122" t="s">
        <v>2144</v>
      </c>
      <c r="F54" s="122" t="s">
        <v>2096</v>
      </c>
      <c r="G54" s="123">
        <v>47250</v>
      </c>
      <c r="H54" s="124">
        <v>1448.6647820000001</v>
      </c>
      <c r="I54" s="124">
        <v>1501.3</v>
      </c>
      <c r="J54" s="124">
        <v>175.94269875000001</v>
      </c>
      <c r="K54" s="125"/>
      <c r="N54" s="126"/>
      <c r="O54" s="127">
        <f t="shared" si="0"/>
        <v>70936425</v>
      </c>
      <c r="P54" s="128"/>
      <c r="Q54" s="128"/>
    </row>
    <row r="55" spans="4:17" ht="15" customHeight="1" x14ac:dyDescent="0.25">
      <c r="D55" s="122" t="s">
        <v>2097</v>
      </c>
      <c r="E55" s="122" t="s">
        <v>2145</v>
      </c>
      <c r="F55" s="122" t="s">
        <v>2096</v>
      </c>
      <c r="G55" s="123">
        <v>88250</v>
      </c>
      <c r="H55" s="124">
        <v>2235.2758410000001</v>
      </c>
      <c r="I55" s="124">
        <v>2258.4499999999998</v>
      </c>
      <c r="J55" s="124">
        <v>559.50125437500003</v>
      </c>
      <c r="K55" s="125"/>
      <c r="N55" s="126"/>
      <c r="O55" s="127">
        <f t="shared" si="0"/>
        <v>199308212.49999997</v>
      </c>
      <c r="P55" s="128"/>
      <c r="Q55" s="128"/>
    </row>
    <row r="56" spans="4:17" ht="15" customHeight="1" x14ac:dyDescent="0.25">
      <c r="D56" s="122" t="s">
        <v>2097</v>
      </c>
      <c r="E56" s="122" t="s">
        <v>2146</v>
      </c>
      <c r="F56" s="122" t="s">
        <v>2096</v>
      </c>
      <c r="G56" s="123">
        <v>441600</v>
      </c>
      <c r="H56" s="124">
        <v>313.59187300000002</v>
      </c>
      <c r="I56" s="124">
        <v>332.35</v>
      </c>
      <c r="J56" s="124">
        <v>528.50963999999999</v>
      </c>
      <c r="K56" s="125"/>
      <c r="N56" s="126"/>
      <c r="O56" s="127">
        <f t="shared" si="0"/>
        <v>146765760</v>
      </c>
      <c r="P56" s="128"/>
      <c r="Q56" s="128"/>
    </row>
    <row r="57" spans="4:17" ht="15" customHeight="1" x14ac:dyDescent="0.25">
      <c r="D57" s="122" t="s">
        <v>2097</v>
      </c>
      <c r="E57" s="122" t="s">
        <v>2147</v>
      </c>
      <c r="F57" s="122" t="s">
        <v>2096</v>
      </c>
      <c r="G57" s="123">
        <v>5200</v>
      </c>
      <c r="H57" s="124">
        <v>4481.2942149999999</v>
      </c>
      <c r="I57" s="124">
        <v>4429.7</v>
      </c>
      <c r="J57" s="124">
        <v>44.468814000000002</v>
      </c>
      <c r="K57" s="125"/>
      <c r="N57" s="126"/>
      <c r="O57" s="127">
        <f t="shared" si="0"/>
        <v>23034440</v>
      </c>
      <c r="P57" s="128"/>
      <c r="Q57" s="128"/>
    </row>
    <row r="58" spans="4:17" ht="15" customHeight="1" x14ac:dyDescent="0.25">
      <c r="D58" s="122" t="s">
        <v>2097</v>
      </c>
      <c r="E58" s="122" t="s">
        <v>2148</v>
      </c>
      <c r="F58" s="122" t="s">
        <v>2096</v>
      </c>
      <c r="G58" s="123">
        <v>836550</v>
      </c>
      <c r="H58" s="124">
        <v>376.49723799999998</v>
      </c>
      <c r="I58" s="124">
        <v>382.85</v>
      </c>
      <c r="J58" s="124">
        <v>907.65465862500002</v>
      </c>
      <c r="K58" s="125"/>
      <c r="N58" s="126"/>
      <c r="O58" s="127">
        <f t="shared" si="0"/>
        <v>320273167.5</v>
      </c>
      <c r="P58" s="128"/>
      <c r="Q58" s="128"/>
    </row>
    <row r="59" spans="4:17" ht="15" customHeight="1" x14ac:dyDescent="0.25">
      <c r="D59" s="122" t="s">
        <v>2097</v>
      </c>
      <c r="E59" s="122" t="s">
        <v>2149</v>
      </c>
      <c r="F59" s="122" t="s">
        <v>2096</v>
      </c>
      <c r="G59" s="123">
        <v>17375</v>
      </c>
      <c r="H59" s="124">
        <v>4080.4445850000002</v>
      </c>
      <c r="I59" s="124">
        <v>4316.7</v>
      </c>
      <c r="J59" s="124">
        <v>133.60584187500001</v>
      </c>
      <c r="K59" s="125"/>
      <c r="N59" s="126"/>
      <c r="O59" s="127">
        <f t="shared" si="0"/>
        <v>75002662.5</v>
      </c>
      <c r="P59" s="128"/>
      <c r="Q59" s="128"/>
    </row>
    <row r="60" spans="4:17" ht="15" customHeight="1" x14ac:dyDescent="0.25">
      <c r="D60" s="122" t="s">
        <v>2097</v>
      </c>
      <c r="E60" s="122" t="s">
        <v>2150</v>
      </c>
      <c r="F60" s="122" t="s">
        <v>2096</v>
      </c>
      <c r="G60" s="123">
        <v>33950</v>
      </c>
      <c r="H60" s="124">
        <v>2437.2056419999999</v>
      </c>
      <c r="I60" s="124">
        <v>2466.0500000000002</v>
      </c>
      <c r="J60" s="124">
        <v>190.43293912500002</v>
      </c>
      <c r="K60" s="125"/>
      <c r="N60" s="126"/>
      <c r="O60" s="127">
        <f t="shared" si="0"/>
        <v>83722397.5</v>
      </c>
      <c r="P60" s="128"/>
      <c r="Q60" s="128"/>
    </row>
    <row r="61" spans="4:17" ht="15" customHeight="1" x14ac:dyDescent="0.25">
      <c r="D61" s="122" t="s">
        <v>2097</v>
      </c>
      <c r="E61" s="122" t="s">
        <v>2151</v>
      </c>
      <c r="F61" s="122" t="s">
        <v>2096</v>
      </c>
      <c r="G61" s="123">
        <v>1216800</v>
      </c>
      <c r="H61" s="124">
        <v>154.80308600000001</v>
      </c>
      <c r="I61" s="124">
        <v>151.94999999999999</v>
      </c>
      <c r="J61" s="124">
        <v>485.36022600000001</v>
      </c>
      <c r="K61" s="125"/>
      <c r="N61" s="126"/>
      <c r="O61" s="127">
        <f t="shared" si="0"/>
        <v>184892760</v>
      </c>
      <c r="P61" s="128"/>
      <c r="Q61" s="128"/>
    </row>
    <row r="62" spans="4:17" ht="15" customHeight="1" x14ac:dyDescent="0.25">
      <c r="D62" s="122" t="s">
        <v>2097</v>
      </c>
      <c r="E62" s="122" t="s">
        <v>2152</v>
      </c>
      <c r="F62" s="122" t="s">
        <v>2096</v>
      </c>
      <c r="G62" s="123">
        <v>1427400</v>
      </c>
      <c r="H62" s="124">
        <v>127.885656</v>
      </c>
      <c r="I62" s="124">
        <v>125.9</v>
      </c>
      <c r="J62" s="124">
        <v>534.93956100000003</v>
      </c>
      <c r="K62" s="125"/>
      <c r="N62" s="126"/>
      <c r="O62" s="127">
        <f t="shared" si="0"/>
        <v>179709660</v>
      </c>
      <c r="P62" s="128"/>
      <c r="Q62" s="128"/>
    </row>
    <row r="63" spans="4:17" ht="15" customHeight="1" x14ac:dyDescent="0.25">
      <c r="D63" s="122" t="s">
        <v>2097</v>
      </c>
      <c r="E63" s="122" t="s">
        <v>2153</v>
      </c>
      <c r="F63" s="122" t="s">
        <v>2096</v>
      </c>
      <c r="G63" s="123">
        <v>36800</v>
      </c>
      <c r="H63" s="124">
        <v>457.89687500000002</v>
      </c>
      <c r="I63" s="124">
        <v>444.7</v>
      </c>
      <c r="J63" s="124">
        <v>65.222296</v>
      </c>
      <c r="K63" s="125"/>
      <c r="N63" s="126"/>
      <c r="O63" s="127">
        <f t="shared" si="0"/>
        <v>16364960</v>
      </c>
      <c r="P63" s="128"/>
      <c r="Q63" s="128"/>
    </row>
    <row r="64" spans="4:17" ht="15" customHeight="1" x14ac:dyDescent="0.25">
      <c r="D64" s="122" t="s">
        <v>2097</v>
      </c>
      <c r="E64" s="122" t="s">
        <v>2154</v>
      </c>
      <c r="F64" s="122" t="s">
        <v>2096</v>
      </c>
      <c r="G64" s="123">
        <v>2295000</v>
      </c>
      <c r="H64" s="124">
        <v>36.647030000000001</v>
      </c>
      <c r="I64" s="124">
        <v>37.1</v>
      </c>
      <c r="J64" s="124">
        <v>297.62707499999999</v>
      </c>
      <c r="K64" s="125"/>
      <c r="N64" s="126"/>
      <c r="O64" s="127">
        <f t="shared" si="0"/>
        <v>85144500</v>
      </c>
      <c r="P64" s="128"/>
      <c r="Q64" s="128"/>
    </row>
    <row r="65" spans="4:17" ht="15" customHeight="1" x14ac:dyDescent="0.25">
      <c r="D65" s="122" t="s">
        <v>2097</v>
      </c>
      <c r="E65" s="122" t="s">
        <v>2155</v>
      </c>
      <c r="F65" s="122" t="s">
        <v>2096</v>
      </c>
      <c r="G65" s="123">
        <v>265500</v>
      </c>
      <c r="H65" s="124">
        <v>695.98425099999997</v>
      </c>
      <c r="I65" s="124">
        <v>749.35</v>
      </c>
      <c r="J65" s="124">
        <v>447.67879875</v>
      </c>
      <c r="K65" s="125"/>
      <c r="N65" s="126"/>
      <c r="O65" s="127">
        <f t="shared" si="0"/>
        <v>198952425</v>
      </c>
      <c r="P65" s="128"/>
      <c r="Q65" s="128"/>
    </row>
    <row r="66" spans="4:17" ht="15" customHeight="1" x14ac:dyDescent="0.25">
      <c r="D66" s="122" t="s">
        <v>2097</v>
      </c>
      <c r="E66" s="122" t="s">
        <v>2156</v>
      </c>
      <c r="F66" s="122" t="s">
        <v>2096</v>
      </c>
      <c r="G66" s="123">
        <v>213200</v>
      </c>
      <c r="H66" s="124">
        <v>1624.0641169999999</v>
      </c>
      <c r="I66" s="124">
        <v>1677.85</v>
      </c>
      <c r="J66" s="124">
        <v>1021.664527</v>
      </c>
      <c r="K66" s="125"/>
      <c r="N66" s="126"/>
      <c r="O66" s="127">
        <f t="shared" si="0"/>
        <v>357717620</v>
      </c>
      <c r="P66" s="128"/>
      <c r="Q66" s="128"/>
    </row>
    <row r="67" spans="4:17" ht="15" customHeight="1" x14ac:dyDescent="0.25">
      <c r="D67" s="122" t="s">
        <v>2097</v>
      </c>
      <c r="E67" s="122" t="s">
        <v>2157</v>
      </c>
      <c r="F67" s="122" t="s">
        <v>2096</v>
      </c>
      <c r="G67" s="123">
        <v>345650</v>
      </c>
      <c r="H67" s="124">
        <v>312.67483600000003</v>
      </c>
      <c r="I67" s="124">
        <v>308.3</v>
      </c>
      <c r="J67" s="124">
        <v>267.60396324999999</v>
      </c>
      <c r="K67" s="125"/>
      <c r="N67" s="126"/>
      <c r="O67" s="127">
        <f t="shared" si="0"/>
        <v>106563895</v>
      </c>
      <c r="P67" s="128"/>
      <c r="Q67" s="128"/>
    </row>
    <row r="68" spans="4:17" ht="15" customHeight="1" x14ac:dyDescent="0.25">
      <c r="D68" s="122" t="s">
        <v>2097</v>
      </c>
      <c r="E68" s="122" t="s">
        <v>2158</v>
      </c>
      <c r="F68" s="122" t="s">
        <v>2096</v>
      </c>
      <c r="G68" s="123">
        <v>359575</v>
      </c>
      <c r="H68" s="124">
        <v>1635.3061290000001</v>
      </c>
      <c r="I68" s="124">
        <v>1672.85</v>
      </c>
      <c r="J68" s="124">
        <v>1507.2296335624999</v>
      </c>
      <c r="K68" s="125"/>
      <c r="N68" s="126"/>
      <c r="O68" s="127">
        <f t="shared" si="0"/>
        <v>601515038.75</v>
      </c>
      <c r="P68" s="128"/>
      <c r="Q68" s="128"/>
    </row>
    <row r="69" spans="4:17" ht="15" customHeight="1" x14ac:dyDescent="0.25">
      <c r="D69" s="122" t="s">
        <v>2097</v>
      </c>
      <c r="E69" s="122" t="s">
        <v>2159</v>
      </c>
      <c r="F69" s="122" t="s">
        <v>2096</v>
      </c>
      <c r="G69" s="123">
        <v>41250</v>
      </c>
      <c r="H69" s="124">
        <v>487.60300000000001</v>
      </c>
      <c r="I69" s="124">
        <v>505.25</v>
      </c>
      <c r="J69" s="124">
        <v>47.752546875</v>
      </c>
      <c r="K69" s="125"/>
      <c r="N69" s="126"/>
      <c r="O69" s="127">
        <f t="shared" si="0"/>
        <v>20841562.5</v>
      </c>
      <c r="P69" s="128"/>
      <c r="Q69" s="128"/>
    </row>
    <row r="70" spans="4:17" ht="15" customHeight="1" x14ac:dyDescent="0.25">
      <c r="D70" s="122" t="s">
        <v>2097</v>
      </c>
      <c r="E70" s="122" t="s">
        <v>2160</v>
      </c>
      <c r="F70" s="122" t="s">
        <v>2096</v>
      </c>
      <c r="G70" s="123">
        <v>79900</v>
      </c>
      <c r="H70" s="124">
        <v>256.82234</v>
      </c>
      <c r="I70" s="124">
        <v>260.05</v>
      </c>
      <c r="J70" s="124">
        <v>46.734908250000004</v>
      </c>
      <c r="K70" s="125"/>
      <c r="N70" s="126"/>
      <c r="O70" s="127">
        <f t="shared" si="0"/>
        <v>20777995</v>
      </c>
      <c r="P70" s="128"/>
      <c r="Q70" s="128"/>
    </row>
    <row r="71" spans="4:17" ht="15" customHeight="1" x14ac:dyDescent="0.25">
      <c r="D71" s="122" t="s">
        <v>2097</v>
      </c>
      <c r="E71" s="122" t="s">
        <v>2161</v>
      </c>
      <c r="F71" s="122" t="s">
        <v>2096</v>
      </c>
      <c r="G71" s="123">
        <v>125000</v>
      </c>
      <c r="H71" s="124">
        <v>1156.005216</v>
      </c>
      <c r="I71" s="124">
        <v>1160.2</v>
      </c>
      <c r="J71" s="124">
        <v>305.07125000000002</v>
      </c>
      <c r="K71" s="125"/>
      <c r="N71" s="126"/>
      <c r="O71" s="127">
        <f t="shared" si="0"/>
        <v>145025000</v>
      </c>
      <c r="P71" s="128"/>
      <c r="Q71" s="128"/>
    </row>
    <row r="72" spans="4:17" ht="15" customHeight="1" x14ac:dyDescent="0.25">
      <c r="D72" s="122" t="s">
        <v>2097</v>
      </c>
      <c r="E72" s="122" t="s">
        <v>2162</v>
      </c>
      <c r="F72" s="122" t="s">
        <v>2096</v>
      </c>
      <c r="G72" s="123">
        <v>77700</v>
      </c>
      <c r="H72" s="124">
        <v>1176.4729</v>
      </c>
      <c r="I72" s="124">
        <v>1168.4000000000001</v>
      </c>
      <c r="J72" s="147">
        <v>999.60530249999999</v>
      </c>
      <c r="K72" s="125"/>
      <c r="N72" s="126"/>
      <c r="O72" s="127">
        <f t="shared" ref="O72:O135" si="1">G72*I72</f>
        <v>90784680</v>
      </c>
      <c r="P72" s="128"/>
      <c r="Q72" s="128"/>
    </row>
    <row r="73" spans="4:17" ht="15" customHeight="1" x14ac:dyDescent="0.25">
      <c r="D73" s="122" t="s">
        <v>2097</v>
      </c>
      <c r="E73" s="122" t="s">
        <v>2163</v>
      </c>
      <c r="F73" s="122" t="s">
        <v>2096</v>
      </c>
      <c r="G73" s="123">
        <v>287700</v>
      </c>
      <c r="H73" s="124">
        <v>1152.7523269999999</v>
      </c>
      <c r="I73" s="124">
        <v>1165.0999999999999</v>
      </c>
      <c r="J73" s="148"/>
      <c r="K73" s="125"/>
      <c r="N73" s="126"/>
      <c r="O73" s="127">
        <f t="shared" si="1"/>
        <v>335199270</v>
      </c>
      <c r="P73" s="128"/>
      <c r="Q73" s="128"/>
    </row>
    <row r="74" spans="4:17" ht="15" customHeight="1" x14ac:dyDescent="0.25">
      <c r="D74" s="122" t="s">
        <v>2097</v>
      </c>
      <c r="E74" s="122" t="s">
        <v>2164</v>
      </c>
      <c r="F74" s="122" t="s">
        <v>2096</v>
      </c>
      <c r="G74" s="123">
        <v>170500</v>
      </c>
      <c r="H74" s="124">
        <v>1475.3903</v>
      </c>
      <c r="I74" s="124">
        <v>1475.7</v>
      </c>
      <c r="J74" s="124">
        <v>444.54379749999998</v>
      </c>
      <c r="K74" s="125"/>
      <c r="N74" s="126"/>
      <c r="O74" s="127">
        <f t="shared" si="1"/>
        <v>251606850</v>
      </c>
      <c r="P74" s="128"/>
      <c r="Q74" s="128"/>
    </row>
    <row r="75" spans="4:17" ht="15" customHeight="1" x14ac:dyDescent="0.25">
      <c r="D75" s="122" t="s">
        <v>2097</v>
      </c>
      <c r="E75" s="122" t="s">
        <v>2165</v>
      </c>
      <c r="F75" s="122" t="s">
        <v>2096</v>
      </c>
      <c r="G75" s="123">
        <v>996600</v>
      </c>
      <c r="H75" s="124">
        <v>521.50979800000005</v>
      </c>
      <c r="I75" s="124">
        <v>540.1</v>
      </c>
      <c r="J75" s="124">
        <v>1201.2368609999999</v>
      </c>
      <c r="K75" s="125"/>
      <c r="N75" s="126"/>
      <c r="O75" s="127">
        <f t="shared" si="1"/>
        <v>538263660</v>
      </c>
      <c r="P75" s="128"/>
      <c r="Q75" s="128"/>
    </row>
    <row r="76" spans="4:17" ht="15" customHeight="1" x14ac:dyDescent="0.25">
      <c r="D76" s="122" t="s">
        <v>2097</v>
      </c>
      <c r="E76" s="122" t="s">
        <v>2166</v>
      </c>
      <c r="F76" s="122" t="s">
        <v>2096</v>
      </c>
      <c r="G76" s="123">
        <v>69600</v>
      </c>
      <c r="H76" s="124">
        <v>2302.2814079999998</v>
      </c>
      <c r="I76" s="124">
        <v>2308.25</v>
      </c>
      <c r="J76" s="124">
        <v>336.13233000000002</v>
      </c>
      <c r="K76" s="125"/>
      <c r="N76" s="126"/>
      <c r="O76" s="127">
        <f t="shared" si="1"/>
        <v>160654200</v>
      </c>
      <c r="P76" s="128"/>
      <c r="Q76" s="128"/>
    </row>
    <row r="77" spans="4:17" ht="15" customHeight="1" x14ac:dyDescent="0.25">
      <c r="D77" s="122" t="s">
        <v>2097</v>
      </c>
      <c r="E77" s="122" t="s">
        <v>2167</v>
      </c>
      <c r="F77" s="122" t="s">
        <v>2096</v>
      </c>
      <c r="G77" s="123">
        <v>760025</v>
      </c>
      <c r="H77" s="124">
        <v>595.17704100000003</v>
      </c>
      <c r="I77" s="124">
        <v>573.29999999999995</v>
      </c>
      <c r="J77" s="124">
        <v>1183.0207163750001</v>
      </c>
      <c r="K77" s="125"/>
      <c r="N77" s="126"/>
      <c r="O77" s="127">
        <f t="shared" si="1"/>
        <v>435722332.49999994</v>
      </c>
      <c r="P77" s="128"/>
      <c r="Q77" s="128"/>
    </row>
    <row r="78" spans="4:17" ht="15" customHeight="1" x14ac:dyDescent="0.25">
      <c r="D78" s="122" t="s">
        <v>2097</v>
      </c>
      <c r="E78" s="122" t="s">
        <v>2168</v>
      </c>
      <c r="F78" s="122" t="s">
        <v>2096</v>
      </c>
      <c r="G78" s="123">
        <v>320150</v>
      </c>
      <c r="H78" s="124">
        <v>1416.4817190000001</v>
      </c>
      <c r="I78" s="124">
        <v>1489.3</v>
      </c>
      <c r="J78" s="124">
        <v>1069.73480825</v>
      </c>
      <c r="K78" s="125"/>
      <c r="N78" s="126"/>
      <c r="O78" s="127">
        <f t="shared" si="1"/>
        <v>476799395</v>
      </c>
      <c r="P78" s="128"/>
      <c r="Q78" s="128"/>
    </row>
    <row r="79" spans="4:17" ht="15" customHeight="1" x14ac:dyDescent="0.25">
      <c r="D79" s="122" t="s">
        <v>2097</v>
      </c>
      <c r="E79" s="122" t="s">
        <v>2169</v>
      </c>
      <c r="F79" s="122" t="s">
        <v>2096</v>
      </c>
      <c r="G79" s="123">
        <v>331100</v>
      </c>
      <c r="H79" s="124">
        <v>114.303218</v>
      </c>
      <c r="I79" s="124">
        <v>114.5</v>
      </c>
      <c r="J79" s="124">
        <v>128.42541249999999</v>
      </c>
      <c r="K79" s="125"/>
      <c r="N79" s="126"/>
      <c r="O79" s="127">
        <f t="shared" si="1"/>
        <v>37910950</v>
      </c>
      <c r="P79" s="128"/>
      <c r="Q79" s="128"/>
    </row>
    <row r="80" spans="4:17" ht="15" customHeight="1" x14ac:dyDescent="0.25">
      <c r="D80" s="122" t="s">
        <v>2097</v>
      </c>
      <c r="E80" s="122" t="s">
        <v>2170</v>
      </c>
      <c r="F80" s="122" t="s">
        <v>2096</v>
      </c>
      <c r="G80" s="123">
        <v>286200</v>
      </c>
      <c r="H80" s="124">
        <v>272.172617</v>
      </c>
      <c r="I80" s="124">
        <v>270.64999999999998</v>
      </c>
      <c r="J80" s="124">
        <v>268.17727050000002</v>
      </c>
      <c r="K80" s="125"/>
      <c r="N80" s="126"/>
      <c r="O80" s="127">
        <f t="shared" si="1"/>
        <v>77460030</v>
      </c>
      <c r="P80" s="128"/>
      <c r="Q80" s="128"/>
    </row>
    <row r="81" spans="4:17" ht="15" customHeight="1" x14ac:dyDescent="0.25">
      <c r="D81" s="122" t="s">
        <v>2097</v>
      </c>
      <c r="E81" s="122" t="s">
        <v>2171</v>
      </c>
      <c r="F81" s="122" t="s">
        <v>2096</v>
      </c>
      <c r="G81" s="123">
        <v>271500</v>
      </c>
      <c r="H81" s="124">
        <v>2002.0018459999999</v>
      </c>
      <c r="I81" s="124">
        <v>2055.0500000000002</v>
      </c>
      <c r="J81" s="124">
        <v>986.18777624999996</v>
      </c>
      <c r="K81" s="125"/>
      <c r="N81" s="126"/>
      <c r="O81" s="127">
        <f t="shared" si="1"/>
        <v>557946075</v>
      </c>
      <c r="P81" s="128"/>
      <c r="Q81" s="128"/>
    </row>
    <row r="82" spans="4:17" ht="15" customHeight="1" x14ac:dyDescent="0.25">
      <c r="D82" s="122" t="s">
        <v>2097</v>
      </c>
      <c r="E82" s="122" t="s">
        <v>2172</v>
      </c>
      <c r="F82" s="122" t="s">
        <v>2096</v>
      </c>
      <c r="G82" s="123">
        <v>579000</v>
      </c>
      <c r="H82" s="124">
        <v>2362.6094450000001</v>
      </c>
      <c r="I82" s="124">
        <v>2402.9</v>
      </c>
      <c r="J82" s="124">
        <v>3589.171785</v>
      </c>
      <c r="K82" s="125"/>
      <c r="N82" s="126"/>
      <c r="O82" s="127">
        <f t="shared" si="1"/>
        <v>1391279100</v>
      </c>
      <c r="P82" s="128"/>
      <c r="Q82" s="128"/>
    </row>
    <row r="83" spans="4:17" ht="15" customHeight="1" x14ac:dyDescent="0.25">
      <c r="D83" s="122" t="s">
        <v>2097</v>
      </c>
      <c r="E83" s="122" t="s">
        <v>2173</v>
      </c>
      <c r="F83" s="122" t="s">
        <v>2096</v>
      </c>
      <c r="G83" s="123">
        <v>176000</v>
      </c>
      <c r="H83" s="124">
        <v>708.80819599999995</v>
      </c>
      <c r="I83" s="124">
        <v>731.6</v>
      </c>
      <c r="J83" s="124">
        <v>277.26335999999998</v>
      </c>
      <c r="K83" s="125"/>
      <c r="N83" s="126"/>
      <c r="O83" s="127">
        <f t="shared" si="1"/>
        <v>128761600</v>
      </c>
      <c r="P83" s="128"/>
      <c r="Q83" s="128"/>
    </row>
    <row r="84" spans="4:17" ht="15" customHeight="1" x14ac:dyDescent="0.25">
      <c r="D84" s="122" t="s">
        <v>2097</v>
      </c>
      <c r="E84" s="122" t="s">
        <v>2174</v>
      </c>
      <c r="F84" s="122" t="s">
        <v>2096</v>
      </c>
      <c r="G84" s="123">
        <v>26350</v>
      </c>
      <c r="H84" s="124">
        <v>1282.6927000000001</v>
      </c>
      <c r="I84" s="124">
        <v>1334.25</v>
      </c>
      <c r="J84" s="124">
        <v>67.276490624999994</v>
      </c>
      <c r="K84" s="125"/>
      <c r="N84" s="126"/>
      <c r="O84" s="127">
        <f t="shared" si="1"/>
        <v>35157487.5</v>
      </c>
      <c r="P84" s="128"/>
      <c r="Q84" s="128"/>
    </row>
    <row r="85" spans="4:17" ht="15" customHeight="1" x14ac:dyDescent="0.25">
      <c r="D85" s="122" t="s">
        <v>2097</v>
      </c>
      <c r="E85" s="122" t="s">
        <v>2175</v>
      </c>
      <c r="F85" s="122" t="s">
        <v>2096</v>
      </c>
      <c r="G85" s="123">
        <v>508500</v>
      </c>
      <c r="H85" s="124">
        <v>498.65816000000001</v>
      </c>
      <c r="I85" s="124">
        <v>503.05</v>
      </c>
      <c r="J85" s="124">
        <v>877.50192374999995</v>
      </c>
      <c r="K85" s="125"/>
      <c r="N85" s="126"/>
      <c r="O85" s="127">
        <f t="shared" si="1"/>
        <v>255800925</v>
      </c>
      <c r="P85" s="128"/>
      <c r="Q85" s="128"/>
    </row>
    <row r="86" spans="4:17" ht="15" customHeight="1" x14ac:dyDescent="0.25">
      <c r="D86" s="122" t="s">
        <v>2097</v>
      </c>
      <c r="E86" s="122" t="s">
        <v>2176</v>
      </c>
      <c r="F86" s="122" t="s">
        <v>2096</v>
      </c>
      <c r="G86" s="123">
        <v>3352200</v>
      </c>
      <c r="H86" s="124">
        <v>39.704613000000002</v>
      </c>
      <c r="I86" s="124">
        <v>39.950000000000003</v>
      </c>
      <c r="J86" s="124">
        <v>628.47883649999994</v>
      </c>
      <c r="K86" s="125"/>
      <c r="N86" s="126"/>
      <c r="O86" s="127">
        <f t="shared" si="1"/>
        <v>133920390.00000001</v>
      </c>
      <c r="P86" s="128"/>
      <c r="Q86" s="128"/>
    </row>
    <row r="87" spans="4:17" ht="15" customHeight="1" x14ac:dyDescent="0.25">
      <c r="D87" s="122" t="s">
        <v>2097</v>
      </c>
      <c r="E87" s="122" t="s">
        <v>2177</v>
      </c>
      <c r="F87" s="122" t="s">
        <v>2096</v>
      </c>
      <c r="G87" s="123">
        <v>7950000</v>
      </c>
      <c r="H87" s="124">
        <v>63.542940999999999</v>
      </c>
      <c r="I87" s="124">
        <v>62.2</v>
      </c>
      <c r="J87" s="124">
        <v>1495.9514999999999</v>
      </c>
      <c r="K87" s="125"/>
      <c r="N87" s="126"/>
      <c r="O87" s="127">
        <f t="shared" si="1"/>
        <v>494490000</v>
      </c>
      <c r="P87" s="128"/>
      <c r="Q87" s="128"/>
    </row>
    <row r="88" spans="4:17" ht="15" customHeight="1" x14ac:dyDescent="0.25">
      <c r="D88" s="122" t="s">
        <v>2097</v>
      </c>
      <c r="E88" s="122" t="s">
        <v>2178</v>
      </c>
      <c r="F88" s="122" t="s">
        <v>2096</v>
      </c>
      <c r="G88" s="123">
        <v>694400</v>
      </c>
      <c r="H88" s="124">
        <v>162.30780999999999</v>
      </c>
      <c r="I88" s="124">
        <v>158.9</v>
      </c>
      <c r="J88" s="124">
        <v>440.54819200000003</v>
      </c>
      <c r="K88" s="125"/>
      <c r="N88" s="126"/>
      <c r="O88" s="127">
        <f t="shared" si="1"/>
        <v>110340160</v>
      </c>
      <c r="P88" s="128"/>
      <c r="Q88" s="128"/>
    </row>
    <row r="89" spans="4:17" ht="15" customHeight="1" x14ac:dyDescent="0.25">
      <c r="D89" s="122" t="s">
        <v>2097</v>
      </c>
      <c r="E89" s="122" t="s">
        <v>2179</v>
      </c>
      <c r="F89" s="122" t="s">
        <v>2096</v>
      </c>
      <c r="G89" s="123">
        <v>1458750</v>
      </c>
      <c r="H89" s="124">
        <v>228.203565</v>
      </c>
      <c r="I89" s="124">
        <v>225.5</v>
      </c>
      <c r="J89" s="124">
        <v>889.87397375</v>
      </c>
      <c r="K89" s="125"/>
      <c r="N89" s="126"/>
      <c r="O89" s="127">
        <f t="shared" si="1"/>
        <v>328948125</v>
      </c>
      <c r="P89" s="128"/>
      <c r="Q89" s="128"/>
    </row>
    <row r="90" spans="4:17" ht="15" customHeight="1" x14ac:dyDescent="0.25">
      <c r="D90" s="122" t="s">
        <v>2097</v>
      </c>
      <c r="E90" s="122" t="s">
        <v>2180</v>
      </c>
      <c r="F90" s="122" t="s">
        <v>2096</v>
      </c>
      <c r="G90" s="123">
        <v>299000</v>
      </c>
      <c r="H90" s="124">
        <v>119.7076</v>
      </c>
      <c r="I90" s="124">
        <v>119.7</v>
      </c>
      <c r="J90" s="124">
        <v>75.795005000000003</v>
      </c>
      <c r="K90" s="125"/>
      <c r="N90" s="126"/>
      <c r="O90" s="127">
        <f t="shared" si="1"/>
        <v>35790300</v>
      </c>
      <c r="P90" s="128"/>
      <c r="Q90" s="128"/>
    </row>
    <row r="91" spans="4:17" ht="15" customHeight="1" x14ac:dyDescent="0.25">
      <c r="D91" s="122" t="s">
        <v>2097</v>
      </c>
      <c r="E91" s="122" t="s">
        <v>2181</v>
      </c>
      <c r="F91" s="122" t="s">
        <v>2096</v>
      </c>
      <c r="G91" s="123">
        <v>77000</v>
      </c>
      <c r="H91" s="124">
        <v>381.56603799999999</v>
      </c>
      <c r="I91" s="124">
        <v>374.35</v>
      </c>
      <c r="J91" s="124">
        <v>66.075432500000005</v>
      </c>
      <c r="K91" s="125"/>
      <c r="N91" s="126"/>
      <c r="O91" s="127">
        <f t="shared" si="1"/>
        <v>28824950</v>
      </c>
      <c r="P91" s="128"/>
      <c r="Q91" s="128"/>
    </row>
    <row r="92" spans="4:17" ht="15" customHeight="1" x14ac:dyDescent="0.25">
      <c r="D92" s="122" t="s">
        <v>2097</v>
      </c>
      <c r="E92" s="122" t="s">
        <v>2182</v>
      </c>
      <c r="F92" s="122" t="s">
        <v>2096</v>
      </c>
      <c r="G92" s="123">
        <v>672000</v>
      </c>
      <c r="H92" s="124">
        <v>216.34075000000001</v>
      </c>
      <c r="I92" s="124">
        <v>223.45</v>
      </c>
      <c r="J92" s="124">
        <v>523.69464000000005</v>
      </c>
      <c r="K92" s="125"/>
      <c r="N92" s="126"/>
      <c r="O92" s="127">
        <f t="shared" si="1"/>
        <v>150158400</v>
      </c>
      <c r="P92" s="128"/>
      <c r="Q92" s="128"/>
    </row>
    <row r="93" spans="4:17" ht="15" customHeight="1" x14ac:dyDescent="0.25">
      <c r="D93" s="122" t="s">
        <v>2097</v>
      </c>
      <c r="E93" s="122" t="s">
        <v>2183</v>
      </c>
      <c r="F93" s="122" t="s">
        <v>2096</v>
      </c>
      <c r="G93" s="123">
        <v>828900</v>
      </c>
      <c r="H93" s="124">
        <v>938.69558700000005</v>
      </c>
      <c r="I93" s="124">
        <v>939.7</v>
      </c>
      <c r="J93" s="124">
        <v>2264.5506555000002</v>
      </c>
      <c r="K93" s="125"/>
      <c r="N93" s="126"/>
      <c r="O93" s="127">
        <f t="shared" si="1"/>
        <v>778917330</v>
      </c>
      <c r="P93" s="128"/>
      <c r="Q93" s="128"/>
    </row>
    <row r="94" spans="4:17" ht="15" customHeight="1" x14ac:dyDescent="0.25">
      <c r="D94" s="122" t="s">
        <v>2097</v>
      </c>
      <c r="E94" s="122" t="s">
        <v>2184</v>
      </c>
      <c r="F94" s="122" t="s">
        <v>2096</v>
      </c>
      <c r="G94" s="123">
        <v>9125</v>
      </c>
      <c r="H94" s="124">
        <v>4593.1492920000001</v>
      </c>
      <c r="I94" s="124">
        <v>4536.5</v>
      </c>
      <c r="J94" s="124">
        <v>105.817836875</v>
      </c>
      <c r="K94" s="125"/>
      <c r="N94" s="126"/>
      <c r="O94" s="127">
        <f t="shared" si="1"/>
        <v>41395562.5</v>
      </c>
      <c r="P94" s="128"/>
      <c r="Q94" s="128"/>
    </row>
    <row r="95" spans="4:17" ht="15" customHeight="1" x14ac:dyDescent="0.25">
      <c r="D95" s="122" t="s">
        <v>2097</v>
      </c>
      <c r="E95" s="122" t="s">
        <v>2185</v>
      </c>
      <c r="F95" s="122" t="s">
        <v>2096</v>
      </c>
      <c r="G95" s="123">
        <v>343500</v>
      </c>
      <c r="H95" s="124">
        <v>1905.5029520000001</v>
      </c>
      <c r="I95" s="124">
        <v>1913.7</v>
      </c>
      <c r="J95" s="124">
        <v>1161.4748325</v>
      </c>
      <c r="K95" s="125"/>
      <c r="N95" s="126"/>
      <c r="O95" s="127">
        <f t="shared" si="1"/>
        <v>657355950</v>
      </c>
      <c r="P95" s="128"/>
      <c r="Q95" s="128"/>
    </row>
    <row r="96" spans="4:17" ht="15" customHeight="1" x14ac:dyDescent="0.25">
      <c r="D96" s="122" t="s">
        <v>2097</v>
      </c>
      <c r="E96" s="122" t="s">
        <v>2186</v>
      </c>
      <c r="F96" s="122" t="s">
        <v>2096</v>
      </c>
      <c r="G96" s="123">
        <v>53250</v>
      </c>
      <c r="H96" s="124">
        <v>879.11269600000003</v>
      </c>
      <c r="I96" s="124">
        <v>947.3</v>
      </c>
      <c r="J96" s="124">
        <v>156.62183375000001</v>
      </c>
      <c r="K96" s="125"/>
      <c r="N96" s="126"/>
      <c r="O96" s="127">
        <f t="shared" si="1"/>
        <v>50443725</v>
      </c>
      <c r="P96" s="128"/>
      <c r="Q96" s="128"/>
    </row>
    <row r="97" spans="4:17" ht="15" customHeight="1" x14ac:dyDescent="0.25">
      <c r="D97" s="122" t="s">
        <v>2097</v>
      </c>
      <c r="E97" s="122" t="s">
        <v>2187</v>
      </c>
      <c r="F97" s="122" t="s">
        <v>2096</v>
      </c>
      <c r="G97" s="123">
        <v>88500</v>
      </c>
      <c r="H97" s="124">
        <v>2016.518503</v>
      </c>
      <c r="I97" s="124">
        <v>2025.3</v>
      </c>
      <c r="J97" s="124">
        <v>477.48891750000001</v>
      </c>
      <c r="K97" s="125"/>
      <c r="N97" s="126"/>
      <c r="O97" s="127">
        <f t="shared" si="1"/>
        <v>179239050</v>
      </c>
      <c r="P97" s="128"/>
      <c r="Q97" s="128"/>
    </row>
    <row r="98" spans="4:17" ht="15" customHeight="1" x14ac:dyDescent="0.25">
      <c r="D98" s="122" t="s">
        <v>2097</v>
      </c>
      <c r="E98" s="122" t="s">
        <v>2188</v>
      </c>
      <c r="F98" s="122" t="s">
        <v>2096</v>
      </c>
      <c r="G98" s="123">
        <v>54450</v>
      </c>
      <c r="H98" s="124">
        <v>1022.145461</v>
      </c>
      <c r="I98" s="124">
        <v>1038.25</v>
      </c>
      <c r="J98" s="124">
        <v>118.06869937499999</v>
      </c>
      <c r="K98" s="125"/>
      <c r="N98" s="126"/>
      <c r="O98" s="127">
        <f t="shared" si="1"/>
        <v>56532712.5</v>
      </c>
      <c r="P98" s="128"/>
      <c r="Q98" s="128"/>
    </row>
    <row r="99" spans="4:17" ht="15" customHeight="1" x14ac:dyDescent="0.25">
      <c r="D99" s="122" t="s">
        <v>2097</v>
      </c>
      <c r="E99" s="122" t="s">
        <v>2189</v>
      </c>
      <c r="F99" s="122" t="s">
        <v>2096</v>
      </c>
      <c r="G99" s="123">
        <v>1808000</v>
      </c>
      <c r="H99" s="124">
        <v>252.39633000000001</v>
      </c>
      <c r="I99" s="124">
        <v>252.1</v>
      </c>
      <c r="J99" s="124">
        <v>992.11288000000002</v>
      </c>
      <c r="K99" s="125"/>
      <c r="N99" s="126"/>
      <c r="O99" s="127">
        <f t="shared" si="1"/>
        <v>455796800</v>
      </c>
      <c r="P99" s="128"/>
      <c r="Q99" s="128"/>
    </row>
    <row r="100" spans="4:17" ht="15" customHeight="1" x14ac:dyDescent="0.25">
      <c r="D100" s="122" t="s">
        <v>2097</v>
      </c>
      <c r="E100" s="122" t="s">
        <v>2190</v>
      </c>
      <c r="F100" s="122" t="s">
        <v>2096</v>
      </c>
      <c r="G100" s="123">
        <v>335000</v>
      </c>
      <c r="H100" s="124">
        <v>523.50777500000004</v>
      </c>
      <c r="I100" s="124">
        <v>534.6</v>
      </c>
      <c r="J100" s="124">
        <v>811.07185000000004</v>
      </c>
      <c r="K100" s="125"/>
      <c r="N100" s="126"/>
      <c r="O100" s="127">
        <f t="shared" si="1"/>
        <v>179091000</v>
      </c>
      <c r="P100" s="128"/>
      <c r="Q100" s="128"/>
    </row>
    <row r="101" spans="4:17" ht="15" customHeight="1" x14ac:dyDescent="0.25">
      <c r="D101" s="122" t="s">
        <v>2097</v>
      </c>
      <c r="E101" s="122" t="s">
        <v>2191</v>
      </c>
      <c r="F101" s="122" t="s">
        <v>2096</v>
      </c>
      <c r="G101" s="123">
        <v>14175</v>
      </c>
      <c r="H101" s="124">
        <v>2388.7197630000001</v>
      </c>
      <c r="I101" s="124">
        <v>2444.1999999999998</v>
      </c>
      <c r="J101" s="124">
        <v>85.182817249999999</v>
      </c>
      <c r="K101" s="125"/>
      <c r="N101" s="126"/>
      <c r="O101" s="127">
        <f t="shared" si="1"/>
        <v>34646535</v>
      </c>
      <c r="P101" s="128"/>
      <c r="Q101" s="128"/>
    </row>
    <row r="102" spans="4:17" ht="15" customHeight="1" x14ac:dyDescent="0.25">
      <c r="D102" s="122" t="s">
        <v>2097</v>
      </c>
      <c r="E102" s="122" t="s">
        <v>2192</v>
      </c>
      <c r="F102" s="122" t="s">
        <v>2096</v>
      </c>
      <c r="G102" s="123">
        <v>49950</v>
      </c>
      <c r="H102" s="124">
        <v>710.33780300000001</v>
      </c>
      <c r="I102" s="124">
        <v>737.1</v>
      </c>
      <c r="J102" s="124">
        <v>96.382770749999992</v>
      </c>
      <c r="K102" s="125"/>
      <c r="N102" s="126"/>
      <c r="O102" s="127">
        <f t="shared" si="1"/>
        <v>36818145</v>
      </c>
      <c r="P102" s="128"/>
      <c r="Q102" s="128"/>
    </row>
    <row r="103" spans="4:17" ht="15" customHeight="1" x14ac:dyDescent="0.25">
      <c r="D103" s="122" t="s">
        <v>2097</v>
      </c>
      <c r="E103" s="122" t="s">
        <v>2193</v>
      </c>
      <c r="F103" s="122" t="s">
        <v>2096</v>
      </c>
      <c r="G103" s="123">
        <v>52375</v>
      </c>
      <c r="H103" s="124">
        <v>2632.9126240000001</v>
      </c>
      <c r="I103" s="124">
        <v>2652.7</v>
      </c>
      <c r="J103" s="124">
        <v>580.70493687500004</v>
      </c>
      <c r="K103" s="125"/>
      <c r="N103" s="126"/>
      <c r="O103" s="127">
        <f t="shared" si="1"/>
        <v>138935162.5</v>
      </c>
      <c r="P103" s="128"/>
      <c r="Q103" s="128"/>
    </row>
    <row r="104" spans="4:17" ht="15" customHeight="1" x14ac:dyDescent="0.25">
      <c r="D104" s="122" t="s">
        <v>2097</v>
      </c>
      <c r="E104" s="122" t="s">
        <v>2194</v>
      </c>
      <c r="F104" s="122" t="s">
        <v>2096</v>
      </c>
      <c r="G104" s="123">
        <v>444000</v>
      </c>
      <c r="H104" s="124">
        <v>1750.3209919999999</v>
      </c>
      <c r="I104" s="124">
        <v>1762.15</v>
      </c>
      <c r="J104" s="124">
        <v>2217.7145099999998</v>
      </c>
      <c r="K104" s="125"/>
      <c r="N104" s="126"/>
      <c r="O104" s="127">
        <f t="shared" si="1"/>
        <v>782394600</v>
      </c>
      <c r="P104" s="128"/>
      <c r="Q104" s="128"/>
    </row>
    <row r="105" spans="4:17" ht="15" customHeight="1" x14ac:dyDescent="0.25">
      <c r="D105" s="122" t="s">
        <v>2097</v>
      </c>
      <c r="E105" s="122" t="s">
        <v>2195</v>
      </c>
      <c r="F105" s="122" t="s">
        <v>2096</v>
      </c>
      <c r="G105" s="123">
        <v>800</v>
      </c>
      <c r="H105" s="124">
        <v>4912.0749999999998</v>
      </c>
      <c r="I105" s="124">
        <v>5116.75</v>
      </c>
      <c r="J105" s="124">
        <v>10.440770000000001</v>
      </c>
      <c r="K105" s="125"/>
      <c r="N105" s="126"/>
      <c r="O105" s="127">
        <f t="shared" si="1"/>
        <v>4093400</v>
      </c>
      <c r="P105" s="128"/>
      <c r="Q105" s="128"/>
    </row>
    <row r="106" spans="4:17" ht="15" customHeight="1" x14ac:dyDescent="0.25">
      <c r="D106" s="122" t="s">
        <v>2097</v>
      </c>
      <c r="E106" s="122" t="s">
        <v>2196</v>
      </c>
      <c r="F106" s="122" t="s">
        <v>2096</v>
      </c>
      <c r="G106" s="123">
        <v>14550</v>
      </c>
      <c r="H106" s="124">
        <v>6208.8804</v>
      </c>
      <c r="I106" s="124">
        <v>6193.1</v>
      </c>
      <c r="J106" s="124">
        <v>217.85548175</v>
      </c>
      <c r="K106" s="125"/>
      <c r="N106" s="126"/>
      <c r="O106" s="127">
        <f t="shared" si="1"/>
        <v>90109605</v>
      </c>
      <c r="P106" s="128"/>
      <c r="Q106" s="128"/>
    </row>
    <row r="107" spans="4:17" ht="15" customHeight="1" x14ac:dyDescent="0.25">
      <c r="D107" s="122" t="s">
        <v>2097</v>
      </c>
      <c r="E107" s="122" t="s">
        <v>2197</v>
      </c>
      <c r="F107" s="122" t="s">
        <v>2096</v>
      </c>
      <c r="G107" s="123">
        <v>281175</v>
      </c>
      <c r="H107" s="124">
        <v>1755.5387619999999</v>
      </c>
      <c r="I107" s="124">
        <v>1774.95</v>
      </c>
      <c r="J107" s="124">
        <v>953.6985081874999</v>
      </c>
      <c r="K107" s="125"/>
      <c r="N107" s="126"/>
      <c r="O107" s="127">
        <f t="shared" si="1"/>
        <v>499071566.25</v>
      </c>
      <c r="P107" s="128"/>
      <c r="Q107" s="128"/>
    </row>
    <row r="108" spans="4:17" ht="15" customHeight="1" x14ac:dyDescent="0.25">
      <c r="D108" s="122" t="s">
        <v>2097</v>
      </c>
      <c r="E108" s="122" t="s">
        <v>2198</v>
      </c>
      <c r="F108" s="122" t="s">
        <v>2096</v>
      </c>
      <c r="G108" s="123">
        <v>221400</v>
      </c>
      <c r="H108" s="124">
        <v>601.76745200000005</v>
      </c>
      <c r="I108" s="124">
        <v>593.95000000000005</v>
      </c>
      <c r="J108" s="124">
        <v>330.41348550000004</v>
      </c>
      <c r="K108" s="125"/>
      <c r="N108" s="126"/>
      <c r="O108" s="127">
        <f t="shared" si="1"/>
        <v>131500530.00000001</v>
      </c>
      <c r="P108" s="128"/>
      <c r="Q108" s="128"/>
    </row>
    <row r="109" spans="4:17" ht="15" customHeight="1" x14ac:dyDescent="0.25">
      <c r="D109" s="122" t="s">
        <v>2097</v>
      </c>
      <c r="E109" s="122" t="s">
        <v>2199</v>
      </c>
      <c r="F109" s="122" t="s">
        <v>2096</v>
      </c>
      <c r="G109" s="123">
        <v>918000</v>
      </c>
      <c r="H109" s="124">
        <v>366.06030600000003</v>
      </c>
      <c r="I109" s="124">
        <v>361.35</v>
      </c>
      <c r="J109" s="124">
        <v>1008.856755</v>
      </c>
      <c r="K109" s="125"/>
      <c r="N109" s="126"/>
      <c r="O109" s="127">
        <f t="shared" si="1"/>
        <v>331719300</v>
      </c>
      <c r="P109" s="128"/>
      <c r="Q109" s="128"/>
    </row>
    <row r="110" spans="4:17" ht="15" customHeight="1" x14ac:dyDescent="0.25">
      <c r="D110" s="122" t="s">
        <v>2097</v>
      </c>
      <c r="E110" s="122" t="s">
        <v>2200</v>
      </c>
      <c r="F110" s="122" t="s">
        <v>2096</v>
      </c>
      <c r="G110" s="123">
        <v>239700</v>
      </c>
      <c r="H110" s="124">
        <v>750.38740700000005</v>
      </c>
      <c r="I110" s="124">
        <v>749.55</v>
      </c>
      <c r="J110" s="124">
        <v>395.46724725000001</v>
      </c>
      <c r="K110" s="125"/>
      <c r="N110" s="126"/>
      <c r="O110" s="127">
        <f t="shared" si="1"/>
        <v>179667135</v>
      </c>
      <c r="P110" s="128"/>
      <c r="Q110" s="128"/>
    </row>
    <row r="111" spans="4:17" ht="15" customHeight="1" x14ac:dyDescent="0.25">
      <c r="D111" s="122" t="s">
        <v>2097</v>
      </c>
      <c r="E111" s="122" t="s">
        <v>2201</v>
      </c>
      <c r="F111" s="122" t="s">
        <v>2096</v>
      </c>
      <c r="G111" s="123">
        <v>161400</v>
      </c>
      <c r="H111" s="124">
        <v>780.58396000000005</v>
      </c>
      <c r="I111" s="124">
        <v>783.4</v>
      </c>
      <c r="J111" s="124">
        <v>308.950266</v>
      </c>
      <c r="K111" s="125"/>
      <c r="N111" s="126"/>
      <c r="O111" s="127">
        <f t="shared" si="1"/>
        <v>126440760</v>
      </c>
      <c r="P111" s="128"/>
      <c r="Q111" s="128"/>
    </row>
    <row r="112" spans="4:17" ht="15" customHeight="1" x14ac:dyDescent="0.25">
      <c r="D112" s="122" t="s">
        <v>2097</v>
      </c>
      <c r="E112" s="122" t="s">
        <v>2202</v>
      </c>
      <c r="F112" s="122" t="s">
        <v>2096</v>
      </c>
      <c r="G112" s="123">
        <v>976000</v>
      </c>
      <c r="H112" s="124">
        <v>160.15490399999999</v>
      </c>
      <c r="I112" s="124">
        <v>160.1</v>
      </c>
      <c r="J112" s="124">
        <v>433.18295999999998</v>
      </c>
      <c r="K112" s="125"/>
      <c r="N112" s="126"/>
      <c r="O112" s="127">
        <f t="shared" si="1"/>
        <v>156257600</v>
      </c>
      <c r="P112" s="128"/>
      <c r="Q112" s="128"/>
    </row>
    <row r="113" spans="4:17" ht="15" customHeight="1" x14ac:dyDescent="0.25">
      <c r="D113" s="122" t="s">
        <v>2097</v>
      </c>
      <c r="E113" s="122" t="s">
        <v>2203</v>
      </c>
      <c r="F113" s="122" t="s">
        <v>2096</v>
      </c>
      <c r="G113" s="123">
        <v>46900</v>
      </c>
      <c r="H113" s="124">
        <v>796.18725700000005</v>
      </c>
      <c r="I113" s="124">
        <v>809.8</v>
      </c>
      <c r="J113" s="124">
        <v>114.470237</v>
      </c>
      <c r="K113" s="125"/>
      <c r="N113" s="126"/>
      <c r="O113" s="127">
        <f t="shared" si="1"/>
        <v>37979620</v>
      </c>
      <c r="P113" s="128"/>
      <c r="Q113" s="128"/>
    </row>
    <row r="114" spans="4:17" ht="15" customHeight="1" x14ac:dyDescent="0.25">
      <c r="D114" s="122" t="s">
        <v>2097</v>
      </c>
      <c r="E114" s="122" t="s">
        <v>2204</v>
      </c>
      <c r="F114" s="122" t="s">
        <v>2096</v>
      </c>
      <c r="G114" s="123">
        <v>1368000</v>
      </c>
      <c r="H114" s="124">
        <v>115.766418</v>
      </c>
      <c r="I114" s="124">
        <v>114.05</v>
      </c>
      <c r="J114" s="124">
        <v>493.46154000000001</v>
      </c>
      <c r="K114" s="125"/>
      <c r="N114" s="126"/>
      <c r="O114" s="127">
        <f t="shared" si="1"/>
        <v>156020400</v>
      </c>
      <c r="P114" s="128"/>
      <c r="Q114" s="128"/>
    </row>
    <row r="115" spans="4:17" ht="15" customHeight="1" x14ac:dyDescent="0.25">
      <c r="D115" s="122" t="s">
        <v>2097</v>
      </c>
      <c r="E115" s="122" t="s">
        <v>2205</v>
      </c>
      <c r="F115" s="122" t="s">
        <v>2096</v>
      </c>
      <c r="G115" s="123">
        <v>37000</v>
      </c>
      <c r="H115" s="124">
        <v>487.29184299999997</v>
      </c>
      <c r="I115" s="124">
        <v>505.1</v>
      </c>
      <c r="J115" s="124">
        <v>33.040444999999998</v>
      </c>
      <c r="K115" s="125"/>
      <c r="N115" s="126"/>
      <c r="O115" s="127">
        <f t="shared" si="1"/>
        <v>18688700</v>
      </c>
      <c r="P115" s="128"/>
      <c r="Q115" s="128"/>
    </row>
    <row r="116" spans="4:17" ht="15" customHeight="1" x14ac:dyDescent="0.25">
      <c r="D116" s="122" t="s">
        <v>2097</v>
      </c>
      <c r="E116" s="122" t="s">
        <v>2206</v>
      </c>
      <c r="F116" s="122" t="s">
        <v>2096</v>
      </c>
      <c r="G116" s="123">
        <v>23500</v>
      </c>
      <c r="H116" s="124">
        <v>7637.1676310000003</v>
      </c>
      <c r="I116" s="124">
        <v>7598.65</v>
      </c>
      <c r="J116" s="124">
        <v>469.87139624999998</v>
      </c>
      <c r="K116" s="125"/>
      <c r="N116" s="126"/>
      <c r="O116" s="127">
        <f t="shared" si="1"/>
        <v>178568275</v>
      </c>
      <c r="P116" s="128"/>
      <c r="Q116" s="128"/>
    </row>
    <row r="117" spans="4:17" ht="15" customHeight="1" x14ac:dyDescent="0.25">
      <c r="D117" s="122" t="s">
        <v>2097</v>
      </c>
      <c r="E117" s="122" t="s">
        <v>2207</v>
      </c>
      <c r="F117" s="122" t="s">
        <v>2096</v>
      </c>
      <c r="G117" s="123">
        <v>28600</v>
      </c>
      <c r="H117" s="124">
        <v>753.19539999999995</v>
      </c>
      <c r="I117" s="124">
        <v>755.7</v>
      </c>
      <c r="J117" s="124">
        <v>60.045557000000002</v>
      </c>
      <c r="K117" s="125"/>
      <c r="N117" s="126"/>
      <c r="O117" s="127">
        <f t="shared" si="1"/>
        <v>21613020</v>
      </c>
      <c r="P117" s="128"/>
      <c r="Q117" s="128"/>
    </row>
    <row r="118" spans="4:17" ht="15" customHeight="1" x14ac:dyDescent="0.25">
      <c r="D118" s="122" t="s">
        <v>2097</v>
      </c>
      <c r="E118" s="122" t="s">
        <v>2208</v>
      </c>
      <c r="F118" s="122" t="s">
        <v>2096</v>
      </c>
      <c r="G118" s="123">
        <v>88800</v>
      </c>
      <c r="H118" s="124">
        <v>2070.1578920000002</v>
      </c>
      <c r="I118" s="124">
        <v>2040.15</v>
      </c>
      <c r="J118" s="124">
        <v>483.83146200000004</v>
      </c>
      <c r="K118" s="125"/>
      <c r="N118" s="126"/>
      <c r="O118" s="127">
        <f t="shared" si="1"/>
        <v>181165320</v>
      </c>
      <c r="P118" s="128"/>
      <c r="Q118" s="128"/>
    </row>
    <row r="119" spans="4:17" ht="15" customHeight="1" x14ac:dyDescent="0.25">
      <c r="D119" s="122" t="s">
        <v>2097</v>
      </c>
      <c r="E119" s="122" t="s">
        <v>2209</v>
      </c>
      <c r="F119" s="122" t="s">
        <v>2096</v>
      </c>
      <c r="G119" s="123">
        <v>141600</v>
      </c>
      <c r="H119" s="124">
        <v>4340.1563189999997</v>
      </c>
      <c r="I119" s="124">
        <v>4326.05</v>
      </c>
      <c r="J119" s="124">
        <v>1653.4231980000002</v>
      </c>
      <c r="K119" s="125"/>
      <c r="N119" s="126"/>
      <c r="O119" s="127">
        <f t="shared" si="1"/>
        <v>612568680</v>
      </c>
      <c r="P119" s="128"/>
      <c r="Q119" s="128"/>
    </row>
    <row r="120" spans="4:17" ht="15" customHeight="1" x14ac:dyDescent="0.25">
      <c r="D120" s="122" t="s">
        <v>2097</v>
      </c>
      <c r="E120" s="122" t="s">
        <v>2210</v>
      </c>
      <c r="F120" s="122" t="s">
        <v>2096</v>
      </c>
      <c r="G120" s="123">
        <v>3328500</v>
      </c>
      <c r="H120" s="124">
        <v>137.14469</v>
      </c>
      <c r="I120" s="124">
        <v>140.1</v>
      </c>
      <c r="J120" s="124">
        <v>1280.5904475</v>
      </c>
      <c r="K120" s="125"/>
      <c r="N120" s="126"/>
      <c r="O120" s="127">
        <f t="shared" si="1"/>
        <v>466322850</v>
      </c>
      <c r="P120" s="128"/>
      <c r="Q120" s="128"/>
    </row>
    <row r="121" spans="4:17" ht="15" customHeight="1" x14ac:dyDescent="0.25">
      <c r="D121" s="122" t="s">
        <v>2097</v>
      </c>
      <c r="E121" s="122" t="s">
        <v>2211</v>
      </c>
      <c r="F121" s="122" t="s">
        <v>2096</v>
      </c>
      <c r="G121" s="123">
        <v>36050</v>
      </c>
      <c r="H121" s="124">
        <v>3395.2574989999998</v>
      </c>
      <c r="I121" s="124">
        <v>3395</v>
      </c>
      <c r="J121" s="124">
        <v>282.10747249999997</v>
      </c>
      <c r="K121" s="125"/>
      <c r="N121" s="126"/>
      <c r="O121" s="127">
        <f t="shared" si="1"/>
        <v>122389750</v>
      </c>
      <c r="P121" s="128"/>
      <c r="Q121" s="128"/>
    </row>
    <row r="122" spans="4:17" ht="15" customHeight="1" x14ac:dyDescent="0.25">
      <c r="D122" s="122" t="s">
        <v>2097</v>
      </c>
      <c r="E122" s="122" t="s">
        <v>2212</v>
      </c>
      <c r="F122" s="122" t="s">
        <v>2096</v>
      </c>
      <c r="G122" s="123">
        <v>289800</v>
      </c>
      <c r="H122" s="124">
        <v>1435.4699619999999</v>
      </c>
      <c r="I122" s="124">
        <v>1424.5</v>
      </c>
      <c r="J122" s="124">
        <v>1043.4756150000001</v>
      </c>
      <c r="K122" s="125"/>
      <c r="N122" s="126"/>
      <c r="O122" s="127">
        <f t="shared" si="1"/>
        <v>412820100</v>
      </c>
      <c r="P122" s="128"/>
      <c r="Q122" s="128"/>
    </row>
    <row r="123" spans="4:17" ht="15" customHeight="1" x14ac:dyDescent="0.25">
      <c r="D123" s="122" t="s">
        <v>2097</v>
      </c>
      <c r="E123" s="122" t="s">
        <v>2213</v>
      </c>
      <c r="F123" s="122" t="s">
        <v>2096</v>
      </c>
      <c r="G123" s="123">
        <v>186375</v>
      </c>
      <c r="H123" s="124">
        <v>1331.710554</v>
      </c>
      <c r="I123" s="124">
        <v>1325.3</v>
      </c>
      <c r="J123" s="124">
        <v>681.77000562499995</v>
      </c>
      <c r="K123" s="125"/>
      <c r="N123" s="126"/>
      <c r="O123" s="127">
        <f t="shared" si="1"/>
        <v>247002787.5</v>
      </c>
      <c r="P123" s="128"/>
      <c r="Q123" s="128"/>
    </row>
    <row r="124" spans="4:17" ht="15" customHeight="1" x14ac:dyDescent="0.25">
      <c r="D124" s="122" t="s">
        <v>2097</v>
      </c>
      <c r="E124" s="122" t="s">
        <v>2214</v>
      </c>
      <c r="F124" s="122" t="s">
        <v>2096</v>
      </c>
      <c r="G124" s="123">
        <v>6630000</v>
      </c>
      <c r="H124" s="124">
        <v>122.083179</v>
      </c>
      <c r="I124" s="124">
        <v>122.3</v>
      </c>
      <c r="J124" s="124">
        <v>2928.5538750000001</v>
      </c>
      <c r="K124" s="125"/>
      <c r="N124" s="126"/>
      <c r="O124" s="127">
        <f t="shared" si="1"/>
        <v>810849000</v>
      </c>
      <c r="P124" s="128"/>
      <c r="Q124" s="128"/>
    </row>
    <row r="125" spans="4:17" ht="15" customHeight="1" x14ac:dyDescent="0.25">
      <c r="D125" s="122" t="s">
        <v>2097</v>
      </c>
      <c r="E125" s="122" t="s">
        <v>2215</v>
      </c>
      <c r="F125" s="122" t="s">
        <v>2096</v>
      </c>
      <c r="G125" s="123">
        <v>3150</v>
      </c>
      <c r="H125" s="124">
        <v>4076.1571429999999</v>
      </c>
      <c r="I125" s="124">
        <v>4102.25</v>
      </c>
      <c r="J125" s="124">
        <v>33.595030625</v>
      </c>
      <c r="K125" s="125"/>
      <c r="N125" s="126"/>
      <c r="O125" s="127">
        <f t="shared" si="1"/>
        <v>12922087.5</v>
      </c>
      <c r="P125" s="128"/>
      <c r="Q125" s="128"/>
    </row>
    <row r="126" spans="4:17" ht="15" customHeight="1" x14ac:dyDescent="0.25">
      <c r="D126" s="122" t="s">
        <v>2097</v>
      </c>
      <c r="E126" s="122" t="s">
        <v>2216</v>
      </c>
      <c r="F126" s="122" t="s">
        <v>2096</v>
      </c>
      <c r="G126" s="123">
        <v>624000</v>
      </c>
      <c r="H126" s="124">
        <v>38.371139999999997</v>
      </c>
      <c r="I126" s="124">
        <v>36.549999999999997</v>
      </c>
      <c r="J126" s="124">
        <v>66.763319999999993</v>
      </c>
      <c r="K126" s="125"/>
      <c r="N126" s="126"/>
      <c r="O126" s="127">
        <f t="shared" si="1"/>
        <v>22807200</v>
      </c>
      <c r="P126" s="128"/>
      <c r="Q126" s="128"/>
    </row>
    <row r="127" spans="4:17" ht="15" customHeight="1" x14ac:dyDescent="0.25">
      <c r="D127" s="122" t="s">
        <v>2097</v>
      </c>
      <c r="E127" s="122" t="s">
        <v>2217</v>
      </c>
      <c r="F127" s="122" t="s">
        <v>2096</v>
      </c>
      <c r="G127" s="123">
        <v>11450</v>
      </c>
      <c r="H127" s="124">
        <v>16990.193327000001</v>
      </c>
      <c r="I127" s="124">
        <v>17356.8</v>
      </c>
      <c r="J127" s="124">
        <v>352.53840600000001</v>
      </c>
      <c r="K127" s="125"/>
      <c r="N127" s="126"/>
      <c r="O127" s="127">
        <f t="shared" si="1"/>
        <v>198735360</v>
      </c>
      <c r="P127" s="128"/>
      <c r="Q127" s="128"/>
    </row>
    <row r="128" spans="4:17" ht="15" customHeight="1" x14ac:dyDescent="0.25">
      <c r="D128" s="122" t="s">
        <v>2097</v>
      </c>
      <c r="E128" s="122" t="s">
        <v>2218</v>
      </c>
      <c r="F128" s="122" t="s">
        <v>2096</v>
      </c>
      <c r="G128" s="123">
        <v>96000</v>
      </c>
      <c r="H128" s="124">
        <v>347.06079999999997</v>
      </c>
      <c r="I128" s="124">
        <v>350.15</v>
      </c>
      <c r="J128" s="124">
        <v>78.993840000000006</v>
      </c>
      <c r="K128" s="125"/>
      <c r="N128" s="126"/>
      <c r="O128" s="127">
        <f t="shared" si="1"/>
        <v>33614400</v>
      </c>
      <c r="P128" s="128"/>
      <c r="Q128" s="128"/>
    </row>
    <row r="129" spans="4:17" ht="15" customHeight="1" x14ac:dyDescent="0.25">
      <c r="D129" s="122" t="s">
        <v>2097</v>
      </c>
      <c r="E129" s="122" t="s">
        <v>2219</v>
      </c>
      <c r="F129" s="122" t="s">
        <v>2096</v>
      </c>
      <c r="G129" s="123">
        <v>1608000</v>
      </c>
      <c r="H129" s="124">
        <v>159.22495900000001</v>
      </c>
      <c r="I129" s="124">
        <v>163.55000000000001</v>
      </c>
      <c r="J129" s="124">
        <v>665.61954000000003</v>
      </c>
      <c r="K129" s="125"/>
      <c r="N129" s="126"/>
      <c r="O129" s="127">
        <f t="shared" si="1"/>
        <v>262988400.00000003</v>
      </c>
      <c r="P129" s="128"/>
      <c r="Q129" s="128"/>
    </row>
    <row r="130" spans="4:17" ht="15" customHeight="1" x14ac:dyDescent="0.25">
      <c r="D130" s="122" t="s">
        <v>2097</v>
      </c>
      <c r="E130" s="122" t="s">
        <v>2220</v>
      </c>
      <c r="F130" s="122" t="s">
        <v>2096</v>
      </c>
      <c r="G130" s="123">
        <v>917700</v>
      </c>
      <c r="H130" s="124">
        <v>135.717037</v>
      </c>
      <c r="I130" s="124">
        <v>135.9</v>
      </c>
      <c r="J130" s="124">
        <v>298.12861049999998</v>
      </c>
      <c r="K130" s="125"/>
      <c r="N130" s="126"/>
      <c r="O130" s="127">
        <f t="shared" si="1"/>
        <v>124715430</v>
      </c>
      <c r="P130" s="128"/>
      <c r="Q130" s="128"/>
    </row>
    <row r="131" spans="4:17" ht="15" customHeight="1" x14ac:dyDescent="0.25">
      <c r="D131" s="122" t="s">
        <v>2097</v>
      </c>
      <c r="E131" s="122" t="s">
        <v>2221</v>
      </c>
      <c r="F131" s="122" t="s">
        <v>2096</v>
      </c>
      <c r="G131" s="123">
        <v>54600</v>
      </c>
      <c r="H131" s="124">
        <v>939.926918</v>
      </c>
      <c r="I131" s="124">
        <v>942</v>
      </c>
      <c r="J131" s="124">
        <v>144.8811</v>
      </c>
      <c r="K131" s="125"/>
      <c r="N131" s="126"/>
      <c r="O131" s="127">
        <f t="shared" si="1"/>
        <v>51433200</v>
      </c>
      <c r="P131" s="128"/>
      <c r="Q131" s="128"/>
    </row>
    <row r="132" spans="4:17" ht="15" customHeight="1" x14ac:dyDescent="0.25">
      <c r="D132" s="122" t="s">
        <v>2097</v>
      </c>
      <c r="E132" s="122" t="s">
        <v>2222</v>
      </c>
      <c r="F132" s="122" t="s">
        <v>2096</v>
      </c>
      <c r="G132" s="123">
        <v>300300</v>
      </c>
      <c r="H132" s="124">
        <v>164.81790000000001</v>
      </c>
      <c r="I132" s="124">
        <v>164.85</v>
      </c>
      <c r="J132" s="124">
        <v>251.50049925000002</v>
      </c>
      <c r="K132" s="125"/>
      <c r="N132" s="126"/>
      <c r="O132" s="127">
        <f t="shared" si="1"/>
        <v>49504455</v>
      </c>
      <c r="P132" s="128"/>
      <c r="Q132" s="128"/>
    </row>
    <row r="133" spans="4:17" ht="15" customHeight="1" x14ac:dyDescent="0.25">
      <c r="D133" s="122" t="s">
        <v>2097</v>
      </c>
      <c r="E133" s="122" t="s">
        <v>2223</v>
      </c>
      <c r="F133" s="122" t="s">
        <v>2096</v>
      </c>
      <c r="G133" s="123">
        <v>31125</v>
      </c>
      <c r="H133" s="124">
        <v>3523.568021</v>
      </c>
      <c r="I133" s="124">
        <v>3600.45</v>
      </c>
      <c r="J133" s="124">
        <v>229.5548921875</v>
      </c>
      <c r="K133" s="125"/>
      <c r="N133" s="126"/>
      <c r="O133" s="127">
        <f t="shared" si="1"/>
        <v>112064006.25</v>
      </c>
      <c r="P133" s="128"/>
      <c r="Q133" s="128"/>
    </row>
    <row r="134" spans="4:17" ht="15" customHeight="1" x14ac:dyDescent="0.25">
      <c r="D134" s="122" t="s">
        <v>2097</v>
      </c>
      <c r="E134" s="122" t="s">
        <v>2224</v>
      </c>
      <c r="F134" s="122" t="s">
        <v>2096</v>
      </c>
      <c r="G134" s="123">
        <v>119500</v>
      </c>
      <c r="H134" s="124">
        <v>2834.087935</v>
      </c>
      <c r="I134" s="124">
        <v>2831.7</v>
      </c>
      <c r="J134" s="124">
        <v>762.1465025</v>
      </c>
      <c r="K134" s="125"/>
      <c r="N134" s="126"/>
      <c r="O134" s="127">
        <f t="shared" si="1"/>
        <v>338388150</v>
      </c>
      <c r="P134" s="128"/>
      <c r="Q134" s="128"/>
    </row>
    <row r="135" spans="4:17" ht="15" customHeight="1" x14ac:dyDescent="0.25">
      <c r="D135" s="122" t="s">
        <v>2097</v>
      </c>
      <c r="E135" s="122" t="s">
        <v>2225</v>
      </c>
      <c r="F135" s="122" t="s">
        <v>2096</v>
      </c>
      <c r="G135" s="123">
        <v>690</v>
      </c>
      <c r="H135" s="124">
        <v>43472.563000000002</v>
      </c>
      <c r="I135" s="124">
        <v>43387.05</v>
      </c>
      <c r="J135" s="124">
        <v>65.706542575</v>
      </c>
      <c r="K135" s="125"/>
      <c r="N135" s="126"/>
      <c r="O135" s="127">
        <f t="shared" si="1"/>
        <v>29937064.500000004</v>
      </c>
      <c r="P135" s="128"/>
      <c r="Q135" s="128"/>
    </row>
    <row r="136" spans="4:17" ht="15" customHeight="1" x14ac:dyDescent="0.25">
      <c r="D136" s="122" t="s">
        <v>2097</v>
      </c>
      <c r="E136" s="122" t="s">
        <v>2226</v>
      </c>
      <c r="F136" s="122" t="s">
        <v>2096</v>
      </c>
      <c r="G136" s="123">
        <v>8400</v>
      </c>
      <c r="H136" s="124">
        <v>4747.7866320000003</v>
      </c>
      <c r="I136" s="124">
        <v>4784.95</v>
      </c>
      <c r="J136" s="124">
        <v>96.063513</v>
      </c>
      <c r="K136" s="125"/>
      <c r="N136" s="126"/>
      <c r="O136" s="127">
        <f t="shared" ref="O136:O199" si="2">G136*I136</f>
        <v>40193580</v>
      </c>
      <c r="P136" s="128"/>
      <c r="Q136" s="128"/>
    </row>
    <row r="137" spans="4:17" ht="15" customHeight="1" x14ac:dyDescent="0.25">
      <c r="D137" s="122" t="s">
        <v>2097</v>
      </c>
      <c r="E137" s="122" t="s">
        <v>2227</v>
      </c>
      <c r="F137" s="122" t="s">
        <v>2096</v>
      </c>
      <c r="G137" s="123">
        <v>210000</v>
      </c>
      <c r="H137" s="124">
        <v>194.71422000000001</v>
      </c>
      <c r="I137" s="124">
        <v>194.4</v>
      </c>
      <c r="J137" s="124">
        <v>111.1194</v>
      </c>
      <c r="K137" s="125"/>
      <c r="N137" s="126"/>
      <c r="O137" s="127">
        <f t="shared" si="2"/>
        <v>40824000</v>
      </c>
      <c r="P137" s="128"/>
      <c r="Q137" s="128"/>
    </row>
    <row r="138" spans="4:17" ht="15" customHeight="1" x14ac:dyDescent="0.25">
      <c r="D138" s="122" t="s">
        <v>2097</v>
      </c>
      <c r="E138" s="122" t="s">
        <v>2228</v>
      </c>
      <c r="F138" s="122" t="s">
        <v>2096</v>
      </c>
      <c r="G138" s="123">
        <v>7125</v>
      </c>
      <c r="H138" s="124">
        <v>4408.699955</v>
      </c>
      <c r="I138" s="124">
        <v>4376.1499999999996</v>
      </c>
      <c r="J138" s="124">
        <v>58.058434062499998</v>
      </c>
      <c r="K138" s="125"/>
      <c r="N138" s="126"/>
      <c r="O138" s="127">
        <f t="shared" si="2"/>
        <v>31180068.749999996</v>
      </c>
      <c r="P138" s="128"/>
      <c r="Q138" s="128"/>
    </row>
    <row r="139" spans="4:17" ht="15" customHeight="1" x14ac:dyDescent="0.25">
      <c r="D139" s="122" t="s">
        <v>2097</v>
      </c>
      <c r="E139" s="122" t="s">
        <v>2229</v>
      </c>
      <c r="F139" s="122" t="s">
        <v>2096</v>
      </c>
      <c r="G139" s="123">
        <v>1750</v>
      </c>
      <c r="H139" s="124">
        <v>2431.1143029999998</v>
      </c>
      <c r="I139" s="124">
        <v>2465.3000000000002</v>
      </c>
      <c r="J139" s="124">
        <v>8.2420762500000002</v>
      </c>
      <c r="K139" s="125"/>
      <c r="N139" s="126"/>
      <c r="O139" s="127">
        <f t="shared" si="2"/>
        <v>4314275</v>
      </c>
      <c r="P139" s="128"/>
      <c r="Q139" s="128"/>
    </row>
    <row r="140" spans="4:17" ht="15" customHeight="1" x14ac:dyDescent="0.25">
      <c r="D140" s="122" t="s">
        <v>2097</v>
      </c>
      <c r="E140" s="122" t="s">
        <v>2230</v>
      </c>
      <c r="F140" s="122" t="s">
        <v>2096</v>
      </c>
      <c r="G140" s="123">
        <v>220000</v>
      </c>
      <c r="H140" s="124">
        <v>2208.3187830000002</v>
      </c>
      <c r="I140" s="124">
        <v>2195.6999999999998</v>
      </c>
      <c r="J140" s="124">
        <v>2385.3708999999999</v>
      </c>
      <c r="K140" s="125"/>
      <c r="N140" s="126"/>
      <c r="O140" s="127">
        <f t="shared" si="2"/>
        <v>483053999.99999994</v>
      </c>
      <c r="P140" s="128"/>
      <c r="Q140" s="128"/>
    </row>
    <row r="141" spans="4:17" ht="15" customHeight="1" x14ac:dyDescent="0.25">
      <c r="D141" s="122" t="s">
        <v>2097</v>
      </c>
      <c r="E141" s="122" t="s">
        <v>2231</v>
      </c>
      <c r="F141" s="122" t="s">
        <v>2096</v>
      </c>
      <c r="G141" s="123">
        <v>2400</v>
      </c>
      <c r="H141" s="124">
        <v>2374.6125000000002</v>
      </c>
      <c r="I141" s="124">
        <v>2378.1999999999998</v>
      </c>
      <c r="J141" s="124">
        <v>12.634248000000001</v>
      </c>
      <c r="K141" s="125"/>
      <c r="N141" s="126"/>
      <c r="O141" s="127">
        <f t="shared" si="2"/>
        <v>5707680</v>
      </c>
      <c r="P141" s="128"/>
      <c r="Q141" s="128"/>
    </row>
    <row r="142" spans="4:17" ht="15" customHeight="1" x14ac:dyDescent="0.25">
      <c r="D142" s="122" t="s">
        <v>2097</v>
      </c>
      <c r="E142" s="122" t="s">
        <v>2232</v>
      </c>
      <c r="F142" s="122" t="s">
        <v>2096</v>
      </c>
      <c r="G142" s="123">
        <v>3360400</v>
      </c>
      <c r="H142" s="124">
        <v>113.549076</v>
      </c>
      <c r="I142" s="124">
        <v>113.2</v>
      </c>
      <c r="J142" s="124">
        <v>968.87052799999992</v>
      </c>
      <c r="K142" s="125"/>
      <c r="N142" s="126"/>
      <c r="O142" s="127">
        <f t="shared" si="2"/>
        <v>380397280</v>
      </c>
      <c r="P142" s="128"/>
      <c r="Q142" s="128"/>
    </row>
    <row r="143" spans="4:17" ht="15" customHeight="1" x14ac:dyDescent="0.25">
      <c r="D143" s="122" t="s">
        <v>2097</v>
      </c>
      <c r="E143" s="122" t="s">
        <v>2233</v>
      </c>
      <c r="F143" s="122" t="s">
        <v>2096</v>
      </c>
      <c r="G143" s="123">
        <v>282649</v>
      </c>
      <c r="H143" s="124">
        <v>214.22261900000001</v>
      </c>
      <c r="I143" s="124">
        <v>217.8</v>
      </c>
      <c r="J143" s="124">
        <v>115.80977326999999</v>
      </c>
      <c r="K143" s="125"/>
      <c r="N143" s="126"/>
      <c r="O143" s="127">
        <f t="shared" si="2"/>
        <v>61560952.200000003</v>
      </c>
      <c r="P143" s="128"/>
      <c r="Q143" s="128"/>
    </row>
    <row r="144" spans="4:17" ht="15" customHeight="1" x14ac:dyDescent="0.25">
      <c r="D144" s="122" t="s">
        <v>2097</v>
      </c>
      <c r="E144" s="122" t="s">
        <v>2234</v>
      </c>
      <c r="F144" s="122" t="s">
        <v>2096</v>
      </c>
      <c r="G144" s="123">
        <v>12928000</v>
      </c>
      <c r="H144" s="124">
        <v>35.645989999999998</v>
      </c>
      <c r="I144" s="124">
        <v>35.25</v>
      </c>
      <c r="J144" s="124">
        <v>1954.8751999999999</v>
      </c>
      <c r="K144" s="125"/>
      <c r="N144" s="126"/>
      <c r="O144" s="127">
        <f t="shared" si="2"/>
        <v>455712000</v>
      </c>
      <c r="P144" s="128"/>
      <c r="Q144" s="128"/>
    </row>
    <row r="145" spans="4:17" ht="15" customHeight="1" x14ac:dyDescent="0.25">
      <c r="D145" s="122" t="s">
        <v>2097</v>
      </c>
      <c r="E145" s="122" t="s">
        <v>2235</v>
      </c>
      <c r="F145" s="122" t="s">
        <v>2096</v>
      </c>
      <c r="G145" s="123">
        <v>404151</v>
      </c>
      <c r="H145" s="124">
        <v>1887.078882</v>
      </c>
      <c r="I145" s="124">
        <v>1926.75</v>
      </c>
      <c r="J145" s="124">
        <v>2291.6675174749998</v>
      </c>
      <c r="K145" s="125"/>
      <c r="N145" s="126"/>
      <c r="O145" s="127">
        <f t="shared" si="2"/>
        <v>778697939.25</v>
      </c>
      <c r="P145" s="128"/>
      <c r="Q145" s="128"/>
    </row>
    <row r="146" spans="4:17" ht="15" customHeight="1" x14ac:dyDescent="0.25">
      <c r="D146" s="122" t="s">
        <v>2097</v>
      </c>
      <c r="E146" s="122" t="s">
        <v>2236</v>
      </c>
      <c r="F146" s="122" t="s">
        <v>2096</v>
      </c>
      <c r="G146" s="123">
        <v>200000</v>
      </c>
      <c r="H146" s="124">
        <v>200.076865</v>
      </c>
      <c r="I146" s="124">
        <v>195.3</v>
      </c>
      <c r="J146" s="124">
        <v>124.711</v>
      </c>
      <c r="K146" s="125"/>
      <c r="N146" s="126"/>
      <c r="O146" s="127">
        <f t="shared" si="2"/>
        <v>39060000</v>
      </c>
      <c r="P146" s="128"/>
      <c r="Q146" s="128"/>
    </row>
    <row r="147" spans="4:17" ht="15" customHeight="1" x14ac:dyDescent="0.25">
      <c r="D147" s="122" t="s">
        <v>2097</v>
      </c>
      <c r="E147" s="122" t="s">
        <v>2237</v>
      </c>
      <c r="F147" s="122" t="s">
        <v>2096</v>
      </c>
      <c r="G147" s="123">
        <v>3010200</v>
      </c>
      <c r="H147" s="124">
        <v>131.439345</v>
      </c>
      <c r="I147" s="124">
        <v>131.05000000000001</v>
      </c>
      <c r="J147" s="124">
        <v>1311.7473284999999</v>
      </c>
      <c r="K147" s="125"/>
      <c r="N147" s="126"/>
      <c r="O147" s="127">
        <f t="shared" si="2"/>
        <v>394486710.00000006</v>
      </c>
      <c r="P147" s="128"/>
      <c r="Q147" s="128"/>
    </row>
    <row r="148" spans="4:17" ht="15" customHeight="1" x14ac:dyDescent="0.25">
      <c r="D148" s="122" t="s">
        <v>2097</v>
      </c>
      <c r="E148" s="122" t="s">
        <v>2238</v>
      </c>
      <c r="F148" s="122" t="s">
        <v>2096</v>
      </c>
      <c r="G148" s="123">
        <v>720000</v>
      </c>
      <c r="H148" s="124">
        <v>123.78455</v>
      </c>
      <c r="I148" s="124">
        <v>123.9</v>
      </c>
      <c r="J148" s="124">
        <v>196.6788</v>
      </c>
      <c r="K148" s="125"/>
      <c r="N148" s="126"/>
      <c r="O148" s="127">
        <f t="shared" si="2"/>
        <v>89208000</v>
      </c>
      <c r="P148" s="128"/>
      <c r="Q148" s="128"/>
    </row>
    <row r="149" spans="4:17" ht="15" customHeight="1" x14ac:dyDescent="0.25">
      <c r="D149" s="122" t="s">
        <v>2097</v>
      </c>
      <c r="E149" s="122" t="s">
        <v>2239</v>
      </c>
      <c r="F149" s="122" t="s">
        <v>2096</v>
      </c>
      <c r="G149" s="123">
        <v>652000</v>
      </c>
      <c r="H149" s="124">
        <v>2633.783586</v>
      </c>
      <c r="I149" s="124">
        <v>2650.45</v>
      </c>
      <c r="J149" s="124">
        <v>3807.45669</v>
      </c>
      <c r="K149" s="125"/>
      <c r="N149" s="126"/>
      <c r="O149" s="127">
        <f t="shared" si="2"/>
        <v>1728093400</v>
      </c>
      <c r="P149" s="128"/>
      <c r="Q149" s="128"/>
    </row>
    <row r="150" spans="4:17" ht="15" customHeight="1" x14ac:dyDescent="0.25">
      <c r="D150" s="122" t="s">
        <v>2097</v>
      </c>
      <c r="E150" s="122" t="s">
        <v>2240</v>
      </c>
      <c r="F150" s="122" t="s">
        <v>2096</v>
      </c>
      <c r="G150" s="123">
        <v>93500</v>
      </c>
      <c r="H150" s="124">
        <v>861.15081799999996</v>
      </c>
      <c r="I150" s="124">
        <v>855.05</v>
      </c>
      <c r="J150" s="124">
        <v>171.18611125000001</v>
      </c>
      <c r="K150" s="125"/>
      <c r="N150" s="126"/>
      <c r="O150" s="127">
        <f t="shared" si="2"/>
        <v>79947175</v>
      </c>
      <c r="P150" s="128"/>
      <c r="Q150" s="128"/>
    </row>
    <row r="151" spans="4:17" ht="15" customHeight="1" x14ac:dyDescent="0.25">
      <c r="D151" s="122" t="s">
        <v>2097</v>
      </c>
      <c r="E151" s="122" t="s">
        <v>2241</v>
      </c>
      <c r="F151" s="122" t="s">
        <v>2096</v>
      </c>
      <c r="G151" s="123">
        <v>179250</v>
      </c>
      <c r="H151" s="124">
        <v>1116.106841</v>
      </c>
      <c r="I151" s="124">
        <v>1125.2</v>
      </c>
      <c r="J151" s="124">
        <v>552.219065</v>
      </c>
      <c r="K151" s="125"/>
      <c r="N151" s="126"/>
      <c r="O151" s="127">
        <f t="shared" si="2"/>
        <v>201692100</v>
      </c>
      <c r="P151" s="128"/>
      <c r="Q151" s="128"/>
    </row>
    <row r="152" spans="4:17" ht="15" customHeight="1" x14ac:dyDescent="0.25">
      <c r="D152" s="122" t="s">
        <v>2097</v>
      </c>
      <c r="E152" s="122" t="s">
        <v>2242</v>
      </c>
      <c r="F152" s="122" t="s">
        <v>2096</v>
      </c>
      <c r="G152" s="123">
        <v>6225</v>
      </c>
      <c r="H152" s="124">
        <v>24168.181333</v>
      </c>
      <c r="I152" s="124">
        <v>24124.5</v>
      </c>
      <c r="J152" s="124">
        <v>298.600644375</v>
      </c>
      <c r="K152" s="125"/>
      <c r="N152" s="126"/>
      <c r="O152" s="127">
        <f t="shared" si="2"/>
        <v>150175012.5</v>
      </c>
      <c r="P152" s="128"/>
      <c r="Q152" s="128"/>
    </row>
    <row r="153" spans="4:17" ht="15" customHeight="1" x14ac:dyDescent="0.25">
      <c r="D153" s="122" t="s">
        <v>2097</v>
      </c>
      <c r="E153" s="122" t="s">
        <v>2243</v>
      </c>
      <c r="F153" s="122" t="s">
        <v>2096</v>
      </c>
      <c r="G153" s="123">
        <v>82400</v>
      </c>
      <c r="H153" s="124">
        <v>1127.722777</v>
      </c>
      <c r="I153" s="124">
        <v>1140.75</v>
      </c>
      <c r="J153" s="124">
        <v>267.73923000000002</v>
      </c>
      <c r="K153" s="125"/>
      <c r="N153" s="126"/>
      <c r="O153" s="127">
        <f t="shared" si="2"/>
        <v>93997800</v>
      </c>
      <c r="P153" s="128"/>
      <c r="Q153" s="128"/>
    </row>
    <row r="154" spans="4:17" ht="15" customHeight="1" x14ac:dyDescent="0.25">
      <c r="D154" s="122" t="s">
        <v>2097</v>
      </c>
      <c r="E154" s="122" t="s">
        <v>2244</v>
      </c>
      <c r="F154" s="122" t="s">
        <v>2096</v>
      </c>
      <c r="G154" s="123">
        <v>13750</v>
      </c>
      <c r="H154" s="124">
        <v>2292.4079999999999</v>
      </c>
      <c r="I154" s="124">
        <v>2374.5500000000002</v>
      </c>
      <c r="J154" s="124">
        <v>67.006401874999995</v>
      </c>
      <c r="K154" s="125"/>
      <c r="N154" s="126"/>
      <c r="O154" s="127">
        <f t="shared" si="2"/>
        <v>32650062.500000004</v>
      </c>
      <c r="P154" s="128"/>
      <c r="Q154" s="128"/>
    </row>
    <row r="155" spans="4:17" ht="15" customHeight="1" x14ac:dyDescent="0.25">
      <c r="D155" s="122" t="s">
        <v>2097</v>
      </c>
      <c r="E155" s="122" t="s">
        <v>2245</v>
      </c>
      <c r="F155" s="122" t="s">
        <v>2096</v>
      </c>
      <c r="G155" s="123">
        <v>129750</v>
      </c>
      <c r="H155" s="124">
        <v>2654.6486850000001</v>
      </c>
      <c r="I155" s="124">
        <v>2691.7</v>
      </c>
      <c r="J155" s="124">
        <v>832.76080624999997</v>
      </c>
      <c r="K155" s="125"/>
      <c r="N155" s="126"/>
      <c r="O155" s="127">
        <f t="shared" si="2"/>
        <v>349248075</v>
      </c>
      <c r="P155" s="128"/>
      <c r="Q155" s="128"/>
    </row>
    <row r="156" spans="4:17" ht="15" customHeight="1" x14ac:dyDescent="0.25">
      <c r="D156" s="122" t="s">
        <v>2097</v>
      </c>
      <c r="E156" s="122" t="s">
        <v>2246</v>
      </c>
      <c r="F156" s="122" t="s">
        <v>2096</v>
      </c>
      <c r="G156" s="123">
        <v>648000</v>
      </c>
      <c r="H156" s="124">
        <v>494.67612100000002</v>
      </c>
      <c r="I156" s="124">
        <v>496.1</v>
      </c>
      <c r="J156" s="124">
        <v>1126.11708</v>
      </c>
      <c r="K156" s="125"/>
      <c r="N156" s="126"/>
      <c r="O156" s="127">
        <f t="shared" si="2"/>
        <v>321472800</v>
      </c>
      <c r="P156" s="128"/>
      <c r="Q156" s="128"/>
    </row>
    <row r="157" spans="4:17" ht="15" customHeight="1" x14ac:dyDescent="0.25">
      <c r="D157" s="122" t="s">
        <v>2097</v>
      </c>
      <c r="E157" s="122" t="s">
        <v>2247</v>
      </c>
      <c r="F157" s="122" t="s">
        <v>2096</v>
      </c>
      <c r="G157" s="123">
        <v>8626000</v>
      </c>
      <c r="H157" s="124">
        <v>99.488510000000005</v>
      </c>
      <c r="I157" s="124">
        <v>99.2</v>
      </c>
      <c r="J157" s="124">
        <v>3977.4486000000002</v>
      </c>
      <c r="K157" s="125"/>
      <c r="N157" s="126"/>
      <c r="O157" s="127">
        <f t="shared" si="2"/>
        <v>855699200</v>
      </c>
      <c r="P157" s="128"/>
      <c r="Q157" s="128"/>
    </row>
    <row r="158" spans="4:17" ht="15" customHeight="1" x14ac:dyDescent="0.25">
      <c r="D158" s="122" t="s">
        <v>2097</v>
      </c>
      <c r="E158" s="122" t="s">
        <v>2248</v>
      </c>
      <c r="F158" s="122" t="s">
        <v>2096</v>
      </c>
      <c r="G158" s="123">
        <v>185400</v>
      </c>
      <c r="H158" s="124">
        <v>356.41551700000002</v>
      </c>
      <c r="I158" s="124">
        <v>349.15</v>
      </c>
      <c r="J158" s="124">
        <v>182.43406350000001</v>
      </c>
      <c r="K158" s="125"/>
      <c r="N158" s="126"/>
      <c r="O158" s="127">
        <f t="shared" si="2"/>
        <v>64732409.999999993</v>
      </c>
      <c r="P158" s="128"/>
      <c r="Q158" s="128"/>
    </row>
    <row r="159" spans="4:17" ht="15" customHeight="1" x14ac:dyDescent="0.25">
      <c r="D159" s="122" t="s">
        <v>2097</v>
      </c>
      <c r="E159" s="122" t="s">
        <v>2249</v>
      </c>
      <c r="F159" s="122" t="s">
        <v>2096</v>
      </c>
      <c r="G159" s="123">
        <v>54600</v>
      </c>
      <c r="H159" s="124">
        <v>916.73260000000005</v>
      </c>
      <c r="I159" s="124">
        <v>916.55</v>
      </c>
      <c r="J159" s="124">
        <v>119.9940105</v>
      </c>
      <c r="K159" s="125"/>
      <c r="N159" s="126"/>
      <c r="O159" s="127">
        <f t="shared" si="2"/>
        <v>50043630</v>
      </c>
      <c r="P159" s="128"/>
      <c r="Q159" s="128"/>
    </row>
    <row r="160" spans="4:17" ht="15" customHeight="1" x14ac:dyDescent="0.25">
      <c r="D160" s="122" t="s">
        <v>2097</v>
      </c>
      <c r="E160" s="122" t="s">
        <v>2250</v>
      </c>
      <c r="F160" s="122" t="s">
        <v>2096</v>
      </c>
      <c r="G160" s="123">
        <v>834000</v>
      </c>
      <c r="H160" s="124">
        <v>483.38357200000002</v>
      </c>
      <c r="I160" s="124">
        <v>492.5</v>
      </c>
      <c r="J160" s="124">
        <v>1520.9866500000001</v>
      </c>
      <c r="K160" s="125"/>
      <c r="N160" s="126"/>
      <c r="O160" s="127">
        <f t="shared" si="2"/>
        <v>410745000</v>
      </c>
      <c r="P160" s="128"/>
      <c r="Q160" s="128"/>
    </row>
    <row r="161" spans="4:17" ht="15" customHeight="1" x14ac:dyDescent="0.25">
      <c r="D161" s="122" t="s">
        <v>2097</v>
      </c>
      <c r="E161" s="122" t="s">
        <v>2251</v>
      </c>
      <c r="F161" s="122" t="s">
        <v>2096</v>
      </c>
      <c r="G161" s="123">
        <v>45050</v>
      </c>
      <c r="H161" s="124">
        <v>593.62545699999998</v>
      </c>
      <c r="I161" s="124">
        <v>601</v>
      </c>
      <c r="J161" s="124">
        <v>54.2829975</v>
      </c>
      <c r="K161" s="125"/>
      <c r="N161" s="126"/>
      <c r="O161" s="127">
        <f t="shared" si="2"/>
        <v>27075050</v>
      </c>
      <c r="P161" s="128"/>
      <c r="Q161" s="128"/>
    </row>
    <row r="162" spans="4:17" ht="15" customHeight="1" x14ac:dyDescent="0.25">
      <c r="D162" s="122" t="s">
        <v>2097</v>
      </c>
      <c r="E162" s="122" t="s">
        <v>2252</v>
      </c>
      <c r="F162" s="122" t="s">
        <v>2096</v>
      </c>
      <c r="G162" s="123">
        <v>84000</v>
      </c>
      <c r="H162" s="124">
        <v>969.49816499999997</v>
      </c>
      <c r="I162" s="124">
        <v>980.1</v>
      </c>
      <c r="J162" s="124">
        <v>201.00654</v>
      </c>
      <c r="K162" s="125"/>
      <c r="N162" s="126"/>
      <c r="O162" s="127">
        <f t="shared" si="2"/>
        <v>82328400</v>
      </c>
      <c r="P162" s="128"/>
      <c r="Q162" s="128"/>
    </row>
    <row r="163" spans="4:17" ht="15" customHeight="1" x14ac:dyDescent="0.25">
      <c r="D163" s="122" t="s">
        <v>2097</v>
      </c>
      <c r="E163" s="122" t="s">
        <v>2253</v>
      </c>
      <c r="F163" s="122" t="s">
        <v>2096</v>
      </c>
      <c r="G163" s="123">
        <v>301600</v>
      </c>
      <c r="H163" s="124">
        <v>1164.8979320000001</v>
      </c>
      <c r="I163" s="124">
        <v>1233.05</v>
      </c>
      <c r="J163" s="124">
        <v>907.956998</v>
      </c>
      <c r="K163" s="125"/>
      <c r="N163" s="126"/>
      <c r="O163" s="127">
        <f t="shared" si="2"/>
        <v>371887880</v>
      </c>
      <c r="P163" s="128"/>
      <c r="Q163" s="128"/>
    </row>
    <row r="164" spans="4:17" ht="15" customHeight="1" x14ac:dyDescent="0.25">
      <c r="D164" s="122" t="s">
        <v>2097</v>
      </c>
      <c r="E164" s="122" t="s">
        <v>2254</v>
      </c>
      <c r="F164" s="122" t="s">
        <v>2096</v>
      </c>
      <c r="G164" s="123">
        <v>46800</v>
      </c>
      <c r="H164" s="124">
        <v>3683.0996559999999</v>
      </c>
      <c r="I164" s="124">
        <v>3753.3</v>
      </c>
      <c r="J164" s="124">
        <v>367.94885399999998</v>
      </c>
      <c r="K164" s="125"/>
      <c r="N164" s="126"/>
      <c r="O164" s="127">
        <f t="shared" si="2"/>
        <v>175654440</v>
      </c>
      <c r="P164" s="128"/>
      <c r="Q164" s="128"/>
    </row>
    <row r="165" spans="4:17" ht="15" customHeight="1" x14ac:dyDescent="0.25">
      <c r="D165" s="122" t="s">
        <v>2097</v>
      </c>
      <c r="E165" s="122" t="s">
        <v>2255</v>
      </c>
      <c r="F165" s="122" t="s">
        <v>2096</v>
      </c>
      <c r="G165" s="123">
        <v>56025</v>
      </c>
      <c r="H165" s="124">
        <v>761.14278999999999</v>
      </c>
      <c r="I165" s="124">
        <v>782.1</v>
      </c>
      <c r="J165" s="124">
        <v>118.11386337500001</v>
      </c>
      <c r="K165" s="125"/>
      <c r="N165" s="126"/>
      <c r="O165" s="127">
        <f t="shared" si="2"/>
        <v>43817152.5</v>
      </c>
      <c r="P165" s="128"/>
      <c r="Q165" s="128"/>
    </row>
    <row r="166" spans="4:17" ht="15" customHeight="1" x14ac:dyDescent="0.25">
      <c r="D166" s="122" t="s">
        <v>2097</v>
      </c>
      <c r="E166" s="122" t="s">
        <v>2256</v>
      </c>
      <c r="F166" s="122" t="s">
        <v>2096</v>
      </c>
      <c r="G166" s="123">
        <v>151050</v>
      </c>
      <c r="H166" s="124">
        <v>436.66973999999999</v>
      </c>
      <c r="I166" s="124">
        <v>436.2</v>
      </c>
      <c r="J166" s="124">
        <v>197.7501335</v>
      </c>
      <c r="K166" s="125"/>
      <c r="N166" s="126"/>
      <c r="O166" s="127">
        <f t="shared" si="2"/>
        <v>65888010</v>
      </c>
      <c r="P166" s="128"/>
      <c r="Q166" s="128"/>
    </row>
    <row r="167" spans="4:17" ht="15" customHeight="1" x14ac:dyDescent="0.25">
      <c r="D167" s="122" t="s">
        <v>2097</v>
      </c>
      <c r="E167" s="122" t="s">
        <v>2257</v>
      </c>
      <c r="F167" s="122" t="s">
        <v>2096</v>
      </c>
      <c r="G167" s="123">
        <v>3388500</v>
      </c>
      <c r="H167" s="124">
        <v>239.204354</v>
      </c>
      <c r="I167" s="124">
        <v>240.05</v>
      </c>
      <c r="J167" s="124">
        <v>2274.4204987500002</v>
      </c>
      <c r="K167" s="125"/>
      <c r="N167" s="126"/>
      <c r="O167" s="127">
        <f t="shared" si="2"/>
        <v>813409425</v>
      </c>
      <c r="P167" s="128"/>
      <c r="Q167" s="128"/>
    </row>
    <row r="168" spans="4:17" ht="15" customHeight="1" x14ac:dyDescent="0.25">
      <c r="D168" s="122" t="s">
        <v>2097</v>
      </c>
      <c r="E168" s="122" t="s">
        <v>2258</v>
      </c>
      <c r="F168" s="122" t="s">
        <v>2096</v>
      </c>
      <c r="G168" s="123">
        <v>536350</v>
      </c>
      <c r="H168" s="124">
        <v>1324.673278</v>
      </c>
      <c r="I168" s="124">
        <v>1315.05</v>
      </c>
      <c r="J168" s="124">
        <v>2226.961403625</v>
      </c>
      <c r="K168" s="125"/>
      <c r="N168" s="126"/>
      <c r="O168" s="127">
        <f t="shared" si="2"/>
        <v>705327067.5</v>
      </c>
      <c r="P168" s="128"/>
      <c r="Q168" s="128"/>
    </row>
    <row r="169" spans="4:17" ht="15" customHeight="1" x14ac:dyDescent="0.25">
      <c r="D169" s="122" t="s">
        <v>2097</v>
      </c>
      <c r="E169" s="122" t="s">
        <v>2259</v>
      </c>
      <c r="F169" s="122" t="s">
        <v>2096</v>
      </c>
      <c r="G169" s="123">
        <v>63000</v>
      </c>
      <c r="H169" s="124">
        <v>1507.2866309999999</v>
      </c>
      <c r="I169" s="124">
        <v>1504.4</v>
      </c>
      <c r="J169" s="124">
        <v>207.29141999999999</v>
      </c>
      <c r="K169" s="125"/>
      <c r="N169" s="126"/>
      <c r="O169" s="127">
        <f t="shared" si="2"/>
        <v>94777200</v>
      </c>
      <c r="P169" s="128"/>
      <c r="Q169" s="128"/>
    </row>
    <row r="170" spans="4:17" ht="15" customHeight="1" x14ac:dyDescent="0.25">
      <c r="D170" s="122" t="s">
        <v>2097</v>
      </c>
      <c r="E170" s="122" t="s">
        <v>2260</v>
      </c>
      <c r="F170" s="122" t="s">
        <v>2096</v>
      </c>
      <c r="G170" s="123">
        <v>850000</v>
      </c>
      <c r="H170" s="124">
        <v>98.758238000000006</v>
      </c>
      <c r="I170" s="124">
        <v>97.9</v>
      </c>
      <c r="J170" s="124">
        <v>241.37025</v>
      </c>
      <c r="K170" s="125"/>
      <c r="N170" s="126"/>
      <c r="O170" s="127">
        <f t="shared" si="2"/>
        <v>83215000</v>
      </c>
      <c r="P170" s="128"/>
      <c r="Q170" s="128"/>
    </row>
    <row r="171" spans="4:17" ht="15" customHeight="1" x14ac:dyDescent="0.25">
      <c r="D171" s="122" t="s">
        <v>2097</v>
      </c>
      <c r="E171" s="122" t="s">
        <v>2261</v>
      </c>
      <c r="F171" s="122" t="s">
        <v>2096</v>
      </c>
      <c r="G171" s="123">
        <v>339300</v>
      </c>
      <c r="H171" s="124">
        <v>212.65126100000001</v>
      </c>
      <c r="I171" s="124">
        <v>210.8</v>
      </c>
      <c r="J171" s="124">
        <v>205.57508399999998</v>
      </c>
      <c r="K171" s="125"/>
      <c r="N171" s="126"/>
      <c r="O171" s="127">
        <f t="shared" si="2"/>
        <v>71524440</v>
      </c>
      <c r="P171" s="128"/>
      <c r="Q171" s="128"/>
    </row>
    <row r="172" spans="4:17" ht="15" customHeight="1" x14ac:dyDescent="0.25">
      <c r="D172" s="122" t="s">
        <v>2097</v>
      </c>
      <c r="E172" s="122" t="s">
        <v>2262</v>
      </c>
      <c r="F172" s="122" t="s">
        <v>2096</v>
      </c>
      <c r="G172" s="123">
        <v>462530</v>
      </c>
      <c r="H172" s="124">
        <v>224.09171000000001</v>
      </c>
      <c r="I172" s="124">
        <v>239.95</v>
      </c>
      <c r="J172" s="124">
        <v>297.90747572499998</v>
      </c>
      <c r="K172" s="125"/>
      <c r="N172" s="126"/>
      <c r="O172" s="127">
        <f t="shared" si="2"/>
        <v>110984073.5</v>
      </c>
      <c r="P172" s="128"/>
      <c r="Q172" s="128"/>
    </row>
    <row r="173" spans="4:17" ht="15" customHeight="1" x14ac:dyDescent="0.25">
      <c r="D173" s="122" t="s">
        <v>2097</v>
      </c>
      <c r="E173" s="122" t="s">
        <v>2263</v>
      </c>
      <c r="F173" s="122" t="s">
        <v>2096</v>
      </c>
      <c r="G173" s="123">
        <v>196350</v>
      </c>
      <c r="H173" s="124">
        <v>755.61232399999994</v>
      </c>
      <c r="I173" s="124">
        <v>768.9</v>
      </c>
      <c r="J173" s="124">
        <v>315.81229024999999</v>
      </c>
      <c r="K173" s="125"/>
      <c r="N173" s="126"/>
      <c r="O173" s="127">
        <f t="shared" si="2"/>
        <v>150973515</v>
      </c>
      <c r="P173" s="128"/>
      <c r="Q173" s="128"/>
    </row>
    <row r="174" spans="4:17" ht="15" customHeight="1" x14ac:dyDescent="0.25">
      <c r="D174" s="122" t="s">
        <v>2097</v>
      </c>
      <c r="E174" s="122" t="s">
        <v>2264</v>
      </c>
      <c r="F174" s="122" t="s">
        <v>2096</v>
      </c>
      <c r="G174" s="123">
        <v>21750</v>
      </c>
      <c r="H174" s="124">
        <v>2557.400846</v>
      </c>
      <c r="I174" s="124">
        <v>2549.6</v>
      </c>
      <c r="J174" s="124">
        <v>113.61461</v>
      </c>
      <c r="K174" s="125"/>
      <c r="N174" s="126"/>
      <c r="O174" s="127">
        <f t="shared" si="2"/>
        <v>55453800</v>
      </c>
      <c r="P174" s="128"/>
      <c r="Q174" s="128"/>
    </row>
    <row r="175" spans="4:17" ht="15" customHeight="1" x14ac:dyDescent="0.25">
      <c r="D175" s="122" t="s">
        <v>2097</v>
      </c>
      <c r="E175" s="122" t="s">
        <v>2265</v>
      </c>
      <c r="F175" s="122" t="s">
        <v>2096</v>
      </c>
      <c r="G175" s="123">
        <v>5500</v>
      </c>
      <c r="H175" s="124">
        <v>2817.8409000000001</v>
      </c>
      <c r="I175" s="124">
        <v>2799.85</v>
      </c>
      <c r="J175" s="124">
        <v>32.010261249999999</v>
      </c>
      <c r="K175" s="125"/>
      <c r="N175" s="126"/>
      <c r="O175" s="127">
        <f t="shared" si="2"/>
        <v>15399175</v>
      </c>
      <c r="P175" s="128"/>
      <c r="Q175" s="128"/>
    </row>
    <row r="176" spans="4:17" ht="15" customHeight="1" x14ac:dyDescent="0.25">
      <c r="D176" s="122" t="s">
        <v>2097</v>
      </c>
      <c r="E176" s="122" t="s">
        <v>2266</v>
      </c>
      <c r="F176" s="122" t="s">
        <v>2096</v>
      </c>
      <c r="G176" s="123">
        <v>54000</v>
      </c>
      <c r="H176" s="124">
        <v>491.1653</v>
      </c>
      <c r="I176" s="124">
        <v>494.5</v>
      </c>
      <c r="J176" s="124">
        <v>59.020650000000003</v>
      </c>
      <c r="K176" s="125"/>
      <c r="N176" s="126"/>
      <c r="O176" s="127">
        <f t="shared" si="2"/>
        <v>26703000</v>
      </c>
      <c r="P176" s="128"/>
      <c r="Q176" s="128"/>
    </row>
    <row r="177" spans="4:17" ht="15" customHeight="1" x14ac:dyDescent="0.25">
      <c r="D177" s="122" t="s">
        <v>2097</v>
      </c>
      <c r="E177" s="122" t="s">
        <v>2267</v>
      </c>
      <c r="F177" s="122" t="s">
        <v>2096</v>
      </c>
      <c r="G177" s="123">
        <v>65250</v>
      </c>
      <c r="H177" s="124">
        <v>1259.7805559999999</v>
      </c>
      <c r="I177" s="124">
        <v>1281.6500000000001</v>
      </c>
      <c r="J177" s="124">
        <v>198.782661875</v>
      </c>
      <c r="K177" s="125"/>
      <c r="N177" s="126"/>
      <c r="O177" s="127">
        <f t="shared" si="2"/>
        <v>83627662.5</v>
      </c>
      <c r="P177" s="128"/>
      <c r="Q177" s="128"/>
    </row>
    <row r="178" spans="4:17" ht="15" customHeight="1" x14ac:dyDescent="0.25">
      <c r="D178" s="122" t="s">
        <v>2097</v>
      </c>
      <c r="E178" s="122" t="s">
        <v>2268</v>
      </c>
      <c r="F178" s="122" t="s">
        <v>2096</v>
      </c>
      <c r="G178" s="123">
        <v>116200</v>
      </c>
      <c r="H178" s="124">
        <v>626.71619799999996</v>
      </c>
      <c r="I178" s="124">
        <v>628.70000000000005</v>
      </c>
      <c r="J178" s="124">
        <v>157.45622900000001</v>
      </c>
      <c r="K178" s="125"/>
      <c r="N178" s="126"/>
      <c r="O178" s="127">
        <f t="shared" si="2"/>
        <v>73054940</v>
      </c>
      <c r="P178" s="128"/>
      <c r="Q178" s="128"/>
    </row>
    <row r="179" spans="4:17" ht="15" customHeight="1" x14ac:dyDescent="0.25">
      <c r="D179" s="122" t="s">
        <v>2097</v>
      </c>
      <c r="E179" s="122" t="s">
        <v>2269</v>
      </c>
      <c r="F179" s="122" t="s">
        <v>2096</v>
      </c>
      <c r="G179" s="123">
        <v>14000</v>
      </c>
      <c r="H179" s="124">
        <v>6650.7810980000004</v>
      </c>
      <c r="I179" s="124">
        <v>6622.8</v>
      </c>
      <c r="J179" s="124">
        <v>266.98252000000002</v>
      </c>
      <c r="K179" s="125"/>
      <c r="N179" s="126"/>
      <c r="O179" s="127">
        <f t="shared" si="2"/>
        <v>92719200</v>
      </c>
      <c r="P179" s="128"/>
      <c r="Q179" s="128"/>
    </row>
    <row r="180" spans="4:17" ht="15" customHeight="1" x14ac:dyDescent="0.25">
      <c r="D180" s="122" t="s">
        <v>2097</v>
      </c>
      <c r="E180" s="122" t="s">
        <v>2270</v>
      </c>
      <c r="F180" s="122" t="s">
        <v>2096</v>
      </c>
      <c r="G180" s="123">
        <v>59850</v>
      </c>
      <c r="H180" s="124">
        <v>1421.161388</v>
      </c>
      <c r="I180" s="124">
        <v>1495.7</v>
      </c>
      <c r="J180" s="124">
        <v>198.87526574999998</v>
      </c>
      <c r="K180" s="125"/>
      <c r="N180" s="126"/>
      <c r="O180" s="127">
        <f t="shared" si="2"/>
        <v>89517645</v>
      </c>
      <c r="P180" s="128"/>
      <c r="Q180" s="128"/>
    </row>
    <row r="181" spans="4:17" ht="15" customHeight="1" x14ac:dyDescent="0.25">
      <c r="D181" s="122" t="s">
        <v>2097</v>
      </c>
      <c r="E181" s="122" t="s">
        <v>2271</v>
      </c>
      <c r="F181" s="122" t="s">
        <v>2096</v>
      </c>
      <c r="G181" s="123">
        <v>367500</v>
      </c>
      <c r="H181" s="124">
        <v>876.07699200000002</v>
      </c>
      <c r="I181" s="124">
        <v>890.55</v>
      </c>
      <c r="J181" s="124">
        <v>691.04424374999996</v>
      </c>
      <c r="K181" s="125"/>
      <c r="N181" s="126"/>
      <c r="O181" s="127">
        <f t="shared" si="2"/>
        <v>327277125</v>
      </c>
      <c r="P181" s="128"/>
      <c r="Q181" s="128"/>
    </row>
    <row r="182" spans="4:17" ht="15" customHeight="1" x14ac:dyDescent="0.25">
      <c r="D182" s="122" t="s">
        <v>2097</v>
      </c>
      <c r="E182" s="122" t="s">
        <v>2272</v>
      </c>
      <c r="F182" s="122" t="s">
        <v>2096</v>
      </c>
      <c r="G182" s="123">
        <v>214500</v>
      </c>
      <c r="H182" s="124">
        <v>784.64666399999999</v>
      </c>
      <c r="I182" s="124">
        <v>774.45</v>
      </c>
      <c r="J182" s="124">
        <v>377.68248375000002</v>
      </c>
      <c r="K182" s="125"/>
      <c r="N182" s="126"/>
      <c r="O182" s="127">
        <f t="shared" si="2"/>
        <v>166119525</v>
      </c>
      <c r="P182" s="128"/>
      <c r="Q182" s="128"/>
    </row>
    <row r="183" spans="4:17" ht="15" customHeight="1" x14ac:dyDescent="0.25">
      <c r="D183" s="122" t="s">
        <v>2097</v>
      </c>
      <c r="E183" s="122" t="s">
        <v>2273</v>
      </c>
      <c r="F183" s="122" t="s">
        <v>2096</v>
      </c>
      <c r="G183" s="123">
        <v>4064100</v>
      </c>
      <c r="H183" s="124">
        <v>406.1524</v>
      </c>
      <c r="I183" s="124">
        <v>405.75</v>
      </c>
      <c r="J183" s="124">
        <v>4731.06961125</v>
      </c>
      <c r="K183" s="125"/>
      <c r="N183" s="126"/>
      <c r="O183" s="127">
        <f t="shared" si="2"/>
        <v>1649008575</v>
      </c>
      <c r="P183" s="128"/>
      <c r="Q183" s="128"/>
    </row>
    <row r="184" spans="4:17" ht="15" customHeight="1" x14ac:dyDescent="0.25">
      <c r="D184" s="122" t="s">
        <v>2097</v>
      </c>
      <c r="E184" s="122" t="s">
        <v>2274</v>
      </c>
      <c r="F184" s="122" t="s">
        <v>2096</v>
      </c>
      <c r="G184" s="123">
        <v>37030000</v>
      </c>
      <c r="H184" s="124">
        <v>10.155828</v>
      </c>
      <c r="I184" s="124">
        <v>9.8000000000000007</v>
      </c>
      <c r="J184" s="124">
        <v>1913.5252499999999</v>
      </c>
      <c r="K184" s="125"/>
      <c r="N184" s="126"/>
      <c r="O184" s="127">
        <f t="shared" si="2"/>
        <v>362894000</v>
      </c>
      <c r="P184" s="128"/>
      <c r="Q184" s="128"/>
    </row>
    <row r="185" spans="4:17" ht="15" customHeight="1" x14ac:dyDescent="0.25">
      <c r="D185" s="122" t="s">
        <v>2097</v>
      </c>
      <c r="E185" s="122" t="s">
        <v>2275</v>
      </c>
      <c r="F185" s="122" t="s">
        <v>2096</v>
      </c>
      <c r="G185" s="123">
        <v>64000</v>
      </c>
      <c r="H185" s="124">
        <v>1595.166931</v>
      </c>
      <c r="I185" s="124">
        <v>1582</v>
      </c>
      <c r="J185" s="124">
        <v>208.71680000000001</v>
      </c>
      <c r="K185" s="125"/>
      <c r="N185" s="126"/>
      <c r="O185" s="127">
        <f t="shared" si="2"/>
        <v>101248000</v>
      </c>
      <c r="P185" s="128"/>
      <c r="Q185" s="128"/>
    </row>
    <row r="186" spans="4:17" ht="15" customHeight="1" x14ac:dyDescent="0.25">
      <c r="D186" s="122" t="s">
        <v>2097</v>
      </c>
      <c r="E186" s="122" t="s">
        <v>2276</v>
      </c>
      <c r="F186" s="122" t="s">
        <v>2096</v>
      </c>
      <c r="G186" s="123">
        <v>3732000</v>
      </c>
      <c r="H186" s="124">
        <v>284.40083399999997</v>
      </c>
      <c r="I186" s="124">
        <v>289.2</v>
      </c>
      <c r="J186" s="124">
        <v>4852.4210400000002</v>
      </c>
      <c r="K186" s="125"/>
      <c r="N186" s="126"/>
      <c r="O186" s="127">
        <f t="shared" si="2"/>
        <v>1079294400</v>
      </c>
      <c r="P186" s="128"/>
      <c r="Q186" s="128"/>
    </row>
    <row r="187" spans="4:17" ht="15" customHeight="1" x14ac:dyDescent="0.25">
      <c r="D187" s="122" t="s">
        <v>2097</v>
      </c>
      <c r="E187" s="122" t="s">
        <v>2277</v>
      </c>
      <c r="F187" s="122" t="s">
        <v>2096</v>
      </c>
      <c r="G187" s="123">
        <v>422400</v>
      </c>
      <c r="H187" s="124">
        <v>356.529021</v>
      </c>
      <c r="I187" s="124">
        <v>350.5</v>
      </c>
      <c r="J187" s="124">
        <v>299.2176</v>
      </c>
      <c r="K187" s="125"/>
      <c r="N187" s="126"/>
      <c r="O187" s="127">
        <f t="shared" si="2"/>
        <v>148051200</v>
      </c>
      <c r="P187" s="128"/>
      <c r="Q187" s="128"/>
    </row>
    <row r="188" spans="4:17" ht="15" customHeight="1" x14ac:dyDescent="0.25">
      <c r="D188" s="122" t="s">
        <v>2278</v>
      </c>
      <c r="E188" s="122" t="s">
        <v>2102</v>
      </c>
      <c r="F188" s="122" t="s">
        <v>2096</v>
      </c>
      <c r="G188" s="123">
        <v>88000</v>
      </c>
      <c r="H188" s="124">
        <v>1970.2563</v>
      </c>
      <c r="I188" s="124">
        <v>2020.7</v>
      </c>
      <c r="J188" s="124">
        <v>497.32715999999999</v>
      </c>
      <c r="K188" s="125"/>
      <c r="N188" s="126"/>
      <c r="O188" s="127">
        <f t="shared" si="2"/>
        <v>177821600</v>
      </c>
      <c r="P188" s="128"/>
      <c r="Q188" s="128"/>
    </row>
    <row r="189" spans="4:17" ht="15" customHeight="1" x14ac:dyDescent="0.25">
      <c r="D189" s="122" t="s">
        <v>2278</v>
      </c>
      <c r="E189" s="122" t="s">
        <v>2103</v>
      </c>
      <c r="F189" s="122" t="s">
        <v>2096</v>
      </c>
      <c r="G189" s="123">
        <v>660000</v>
      </c>
      <c r="H189" s="124">
        <v>753.45445299999994</v>
      </c>
      <c r="I189" s="124">
        <v>777.85</v>
      </c>
      <c r="J189" s="124">
        <v>1993.8748499999999</v>
      </c>
      <c r="K189" s="125"/>
      <c r="N189" s="126"/>
      <c r="O189" s="127">
        <f t="shared" si="2"/>
        <v>513381000</v>
      </c>
      <c r="P189" s="128"/>
      <c r="Q189" s="128"/>
    </row>
    <row r="190" spans="4:17" ht="15" customHeight="1" x14ac:dyDescent="0.25">
      <c r="D190" s="122" t="s">
        <v>2278</v>
      </c>
      <c r="E190" s="122" t="s">
        <v>2109</v>
      </c>
      <c r="F190" s="122" t="s">
        <v>2096</v>
      </c>
      <c r="G190" s="123">
        <v>100000</v>
      </c>
      <c r="H190" s="124">
        <v>192.14123000000001</v>
      </c>
      <c r="I190" s="124">
        <v>192</v>
      </c>
      <c r="J190" s="124">
        <v>47</v>
      </c>
      <c r="K190" s="125"/>
      <c r="N190" s="126"/>
      <c r="O190" s="127">
        <f t="shared" si="2"/>
        <v>19200000</v>
      </c>
      <c r="P190" s="128"/>
      <c r="Q190" s="128"/>
    </row>
    <row r="191" spans="4:17" ht="15" customHeight="1" x14ac:dyDescent="0.25">
      <c r="D191" s="122" t="s">
        <v>2278</v>
      </c>
      <c r="E191" s="122" t="s">
        <v>2122</v>
      </c>
      <c r="F191" s="122" t="s">
        <v>2096</v>
      </c>
      <c r="G191" s="123">
        <v>22000</v>
      </c>
      <c r="H191" s="124">
        <v>1968.9387999999999</v>
      </c>
      <c r="I191" s="124">
        <v>1974</v>
      </c>
      <c r="J191" s="124">
        <v>87.940600000000003</v>
      </c>
      <c r="K191" s="125"/>
      <c r="N191" s="126"/>
      <c r="O191" s="127">
        <f t="shared" si="2"/>
        <v>43428000</v>
      </c>
      <c r="P191" s="128"/>
      <c r="Q191" s="128"/>
    </row>
    <row r="192" spans="4:17" ht="15" customHeight="1" x14ac:dyDescent="0.25">
      <c r="D192" s="122" t="s">
        <v>2278</v>
      </c>
      <c r="E192" s="122" t="s">
        <v>2124</v>
      </c>
      <c r="F192" s="122" t="s">
        <v>2096</v>
      </c>
      <c r="G192" s="123">
        <v>182400</v>
      </c>
      <c r="H192" s="124">
        <v>208.45</v>
      </c>
      <c r="I192" s="124">
        <v>212.15</v>
      </c>
      <c r="J192" s="124">
        <v>90.479975999999994</v>
      </c>
      <c r="K192" s="125"/>
      <c r="N192" s="126"/>
      <c r="O192" s="127">
        <f t="shared" si="2"/>
        <v>38696160</v>
      </c>
      <c r="P192" s="128"/>
      <c r="Q192" s="128"/>
    </row>
    <row r="193" spans="4:17" ht="15" customHeight="1" x14ac:dyDescent="0.25">
      <c r="D193" s="122" t="s">
        <v>2278</v>
      </c>
      <c r="E193" s="122" t="s">
        <v>2127</v>
      </c>
      <c r="F193" s="122" t="s">
        <v>2096</v>
      </c>
      <c r="G193" s="123">
        <v>50400</v>
      </c>
      <c r="H193" s="124">
        <v>360.60180000000003</v>
      </c>
      <c r="I193" s="124">
        <v>361.7</v>
      </c>
      <c r="J193" s="124">
        <v>79.949268000000004</v>
      </c>
      <c r="K193" s="125"/>
      <c r="N193" s="126"/>
      <c r="O193" s="127">
        <f t="shared" si="2"/>
        <v>18229680</v>
      </c>
      <c r="P193" s="128"/>
      <c r="Q193" s="128"/>
    </row>
    <row r="194" spans="4:17" ht="15" customHeight="1" x14ac:dyDescent="0.25">
      <c r="D194" s="122" t="s">
        <v>2278</v>
      </c>
      <c r="E194" s="122" t="s">
        <v>2128</v>
      </c>
      <c r="F194" s="122" t="s">
        <v>2096</v>
      </c>
      <c r="G194" s="123">
        <v>157700</v>
      </c>
      <c r="H194" s="124">
        <v>713.81175499999995</v>
      </c>
      <c r="I194" s="124">
        <v>757.3</v>
      </c>
      <c r="J194" s="124">
        <v>296.46890350000001</v>
      </c>
      <c r="K194" s="125"/>
      <c r="N194" s="126"/>
      <c r="O194" s="127">
        <f t="shared" si="2"/>
        <v>119426210</v>
      </c>
      <c r="P194" s="128"/>
      <c r="Q194" s="128"/>
    </row>
    <row r="195" spans="4:17" ht="15" customHeight="1" x14ac:dyDescent="0.25">
      <c r="D195" s="122" t="s">
        <v>2278</v>
      </c>
      <c r="E195" s="122" t="s">
        <v>2133</v>
      </c>
      <c r="F195" s="122" t="s">
        <v>2096</v>
      </c>
      <c r="G195" s="123">
        <v>27000</v>
      </c>
      <c r="H195" s="124">
        <v>231.3</v>
      </c>
      <c r="I195" s="124">
        <v>229.1</v>
      </c>
      <c r="J195" s="124">
        <v>17.290395</v>
      </c>
      <c r="K195" s="125"/>
      <c r="N195" s="126"/>
      <c r="O195" s="127">
        <f t="shared" si="2"/>
        <v>6185700</v>
      </c>
      <c r="P195" s="128"/>
      <c r="Q195" s="128"/>
    </row>
    <row r="196" spans="4:17" ht="15" customHeight="1" x14ac:dyDescent="0.25">
      <c r="D196" s="122" t="s">
        <v>2278</v>
      </c>
      <c r="E196" s="122" t="s">
        <v>2136</v>
      </c>
      <c r="F196" s="122" t="s">
        <v>2096</v>
      </c>
      <c r="G196" s="123">
        <v>53300</v>
      </c>
      <c r="H196" s="124">
        <v>1044.7901999999999</v>
      </c>
      <c r="I196" s="124">
        <v>1024.95</v>
      </c>
      <c r="J196" s="124">
        <v>121.96812224999999</v>
      </c>
      <c r="K196" s="125"/>
      <c r="N196" s="126"/>
      <c r="O196" s="127">
        <f t="shared" si="2"/>
        <v>54629835</v>
      </c>
      <c r="P196" s="128"/>
      <c r="Q196" s="128"/>
    </row>
    <row r="197" spans="4:17" ht="15" customHeight="1" x14ac:dyDescent="0.25">
      <c r="D197" s="122" t="s">
        <v>2278</v>
      </c>
      <c r="E197" s="122" t="s">
        <v>2138</v>
      </c>
      <c r="F197" s="122" t="s">
        <v>2096</v>
      </c>
      <c r="G197" s="123">
        <v>348600</v>
      </c>
      <c r="H197" s="124">
        <v>189.12228999999999</v>
      </c>
      <c r="I197" s="124">
        <v>184.15</v>
      </c>
      <c r="J197" s="124">
        <v>150.05574150000001</v>
      </c>
      <c r="K197" s="125"/>
      <c r="N197" s="126"/>
      <c r="O197" s="127">
        <f t="shared" si="2"/>
        <v>64194690</v>
      </c>
      <c r="P197" s="128"/>
      <c r="Q197" s="128"/>
    </row>
    <row r="198" spans="4:17" ht="15" customHeight="1" x14ac:dyDescent="0.25">
      <c r="D198" s="122" t="s">
        <v>2278</v>
      </c>
      <c r="E198" s="122" t="s">
        <v>2095</v>
      </c>
      <c r="F198" s="122" t="s">
        <v>2096</v>
      </c>
      <c r="G198" s="123">
        <v>468600</v>
      </c>
      <c r="H198" s="124">
        <v>1668.986191</v>
      </c>
      <c r="I198" s="124">
        <v>1510.9</v>
      </c>
      <c r="J198" s="124">
        <v>2107.870578</v>
      </c>
      <c r="K198" s="125"/>
      <c r="N198" s="126"/>
      <c r="O198" s="127">
        <f t="shared" si="2"/>
        <v>708007740</v>
      </c>
      <c r="P198" s="128"/>
      <c r="Q198" s="128"/>
    </row>
    <row r="199" spans="4:17" ht="15" customHeight="1" x14ac:dyDescent="0.25">
      <c r="D199" s="122" t="s">
        <v>2278</v>
      </c>
      <c r="E199" s="122" t="s">
        <v>2151</v>
      </c>
      <c r="F199" s="122" t="s">
        <v>2096</v>
      </c>
      <c r="G199" s="123">
        <v>104400</v>
      </c>
      <c r="H199" s="124">
        <v>156.33269999999999</v>
      </c>
      <c r="I199" s="124">
        <v>151.94999999999999</v>
      </c>
      <c r="J199" s="124">
        <v>41.643332999999998</v>
      </c>
      <c r="K199" s="125"/>
      <c r="N199" s="126"/>
      <c r="O199" s="127">
        <f t="shared" si="2"/>
        <v>15863579.999999998</v>
      </c>
      <c r="P199" s="128"/>
      <c r="Q199" s="128"/>
    </row>
    <row r="200" spans="4:17" ht="15" customHeight="1" x14ac:dyDescent="0.25">
      <c r="D200" s="122" t="s">
        <v>2278</v>
      </c>
      <c r="E200" s="122" t="s">
        <v>2157</v>
      </c>
      <c r="F200" s="122" t="s">
        <v>2096</v>
      </c>
      <c r="G200" s="123">
        <v>29450</v>
      </c>
      <c r="H200" s="124">
        <v>312.84469999999999</v>
      </c>
      <c r="I200" s="124">
        <v>308.3</v>
      </c>
      <c r="J200" s="124">
        <v>22.80034225</v>
      </c>
      <c r="K200" s="125"/>
      <c r="N200" s="126"/>
      <c r="O200" s="127">
        <f t="shared" ref="O200:O205" si="3">G200*I200</f>
        <v>9079435</v>
      </c>
      <c r="P200" s="128"/>
      <c r="Q200" s="128"/>
    </row>
    <row r="201" spans="4:17" ht="15" customHeight="1" x14ac:dyDescent="0.25">
      <c r="D201" s="122" t="s">
        <v>2278</v>
      </c>
      <c r="E201" s="122" t="s">
        <v>2159</v>
      </c>
      <c r="F201" s="122" t="s">
        <v>2096</v>
      </c>
      <c r="G201" s="123">
        <v>116250</v>
      </c>
      <c r="H201" s="124">
        <v>495.72420099999999</v>
      </c>
      <c r="I201" s="124">
        <v>505.25</v>
      </c>
      <c r="J201" s="124">
        <v>134.57535937500001</v>
      </c>
      <c r="K201" s="125"/>
      <c r="N201" s="126"/>
      <c r="O201" s="127">
        <f t="shared" si="3"/>
        <v>58735312.5</v>
      </c>
      <c r="P201" s="128"/>
      <c r="Q201" s="128"/>
    </row>
    <row r="202" spans="4:17" ht="15" customHeight="1" x14ac:dyDescent="0.25">
      <c r="D202" s="122" t="s">
        <v>2278</v>
      </c>
      <c r="E202" s="122" t="s">
        <v>2165</v>
      </c>
      <c r="F202" s="122" t="s">
        <v>2096</v>
      </c>
      <c r="G202" s="123">
        <v>18700</v>
      </c>
      <c r="H202" s="124">
        <v>522.69119999999998</v>
      </c>
      <c r="I202" s="124">
        <v>540.1</v>
      </c>
      <c r="J202" s="124">
        <v>22.5397645</v>
      </c>
      <c r="K202" s="125"/>
      <c r="N202" s="126"/>
      <c r="O202" s="127">
        <f t="shared" si="3"/>
        <v>10099870</v>
      </c>
      <c r="P202" s="128"/>
      <c r="Q202" s="128"/>
    </row>
    <row r="203" spans="4:17" ht="15" customHeight="1" x14ac:dyDescent="0.25">
      <c r="D203" s="122" t="s">
        <v>2278</v>
      </c>
      <c r="E203" s="122" t="s">
        <v>2166</v>
      </c>
      <c r="F203" s="122" t="s">
        <v>2096</v>
      </c>
      <c r="G203" s="123">
        <v>900</v>
      </c>
      <c r="H203" s="124">
        <v>2263.6999999999998</v>
      </c>
      <c r="I203" s="124">
        <v>2308.25</v>
      </c>
      <c r="J203" s="124">
        <v>4.3465387499999997</v>
      </c>
      <c r="K203" s="125"/>
      <c r="N203" s="126"/>
      <c r="O203" s="127">
        <f t="shared" si="3"/>
        <v>2077425</v>
      </c>
      <c r="P203" s="128"/>
      <c r="Q203" s="128"/>
    </row>
    <row r="204" spans="4:17" ht="15" customHeight="1" x14ac:dyDescent="0.25">
      <c r="D204" s="122" t="s">
        <v>2278</v>
      </c>
      <c r="E204" s="122" t="s">
        <v>2170</v>
      </c>
      <c r="F204" s="122" t="s">
        <v>2096</v>
      </c>
      <c r="G204" s="123">
        <v>27000</v>
      </c>
      <c r="H204" s="124">
        <v>275</v>
      </c>
      <c r="I204" s="124">
        <v>270.64999999999998</v>
      </c>
      <c r="J204" s="124">
        <v>25.299742500000001</v>
      </c>
      <c r="K204" s="125"/>
      <c r="N204" s="126"/>
      <c r="O204" s="127">
        <f t="shared" si="3"/>
        <v>7307549.9999999991</v>
      </c>
      <c r="P204" s="128"/>
      <c r="Q204" s="128"/>
    </row>
    <row r="205" spans="4:17" ht="15" customHeight="1" x14ac:dyDescent="0.25">
      <c r="D205" s="122" t="s">
        <v>2278</v>
      </c>
      <c r="E205" s="122" t="s">
        <v>2171</v>
      </c>
      <c r="F205" s="122" t="s">
        <v>2096</v>
      </c>
      <c r="G205" s="123">
        <v>11400</v>
      </c>
      <c r="H205" s="124">
        <v>1993.6288999999999</v>
      </c>
      <c r="I205" s="124">
        <v>2055.0500000000002</v>
      </c>
      <c r="J205" s="124">
        <v>41.408989500000004</v>
      </c>
      <c r="K205" s="125"/>
      <c r="N205" s="126"/>
      <c r="O205" s="127">
        <f t="shared" si="3"/>
        <v>23427570.000000004</v>
      </c>
      <c r="P205" s="128"/>
      <c r="Q205" s="128"/>
    </row>
    <row r="206" spans="4:17" ht="15" customHeight="1" x14ac:dyDescent="0.25">
      <c r="D206" s="122" t="s">
        <v>2278</v>
      </c>
      <c r="E206" s="122" t="s">
        <v>2177</v>
      </c>
      <c r="F206" s="122" t="s">
        <v>2096</v>
      </c>
      <c r="G206" s="123">
        <v>1160000</v>
      </c>
      <c r="H206" s="124">
        <v>62.45</v>
      </c>
      <c r="I206" s="124">
        <v>62.2</v>
      </c>
      <c r="J206" s="124">
        <v>218.27719999999999</v>
      </c>
      <c r="K206" s="125"/>
      <c r="N206" s="126"/>
      <c r="O206" s="127"/>
      <c r="P206" s="128"/>
      <c r="Q206" s="128"/>
    </row>
    <row r="207" spans="4:17" ht="15" customHeight="1" x14ac:dyDescent="0.25">
      <c r="D207" s="122" t="s">
        <v>2278</v>
      </c>
      <c r="E207" s="122" t="s">
        <v>2179</v>
      </c>
      <c r="F207" s="122" t="s">
        <v>2096</v>
      </c>
      <c r="G207" s="123">
        <v>15000</v>
      </c>
      <c r="H207" s="124">
        <v>228.95</v>
      </c>
      <c r="I207" s="124">
        <v>225.5</v>
      </c>
      <c r="J207" s="124">
        <v>9.1503750000000004</v>
      </c>
      <c r="K207" s="125"/>
      <c r="N207" s="126"/>
      <c r="O207" s="127"/>
      <c r="P207" s="128"/>
      <c r="Q207" s="128"/>
    </row>
    <row r="208" spans="4:17" ht="15" customHeight="1" x14ac:dyDescent="0.25">
      <c r="D208" s="122" t="s">
        <v>2278</v>
      </c>
      <c r="E208" s="122" t="s">
        <v>2183</v>
      </c>
      <c r="F208" s="122" t="s">
        <v>2096</v>
      </c>
      <c r="G208" s="123">
        <v>7200</v>
      </c>
      <c r="H208" s="124">
        <v>934.34379999999999</v>
      </c>
      <c r="I208" s="124">
        <v>939.7</v>
      </c>
      <c r="J208" s="124">
        <v>19.670363999999999</v>
      </c>
      <c r="K208" s="125"/>
      <c r="N208" s="126"/>
      <c r="O208" s="127"/>
      <c r="P208" s="128"/>
      <c r="Q208" s="128"/>
    </row>
    <row r="209" spans="4:17" ht="15" customHeight="1" x14ac:dyDescent="0.25">
      <c r="D209" s="122" t="s">
        <v>2278</v>
      </c>
      <c r="E209" s="122" t="s">
        <v>2185</v>
      </c>
      <c r="F209" s="122" t="s">
        <v>2096</v>
      </c>
      <c r="G209" s="123">
        <v>1200</v>
      </c>
      <c r="H209" s="124">
        <v>1879.6624999999999</v>
      </c>
      <c r="I209" s="124">
        <v>1913.7</v>
      </c>
      <c r="J209" s="124">
        <v>4.0575540000000005</v>
      </c>
      <c r="K209" s="125"/>
      <c r="N209" s="126"/>
      <c r="O209" s="127"/>
      <c r="P209" s="128"/>
      <c r="Q209" s="128"/>
    </row>
    <row r="210" spans="4:17" ht="15" customHeight="1" x14ac:dyDescent="0.25">
      <c r="D210" s="122" t="s">
        <v>2278</v>
      </c>
      <c r="E210" s="122" t="s">
        <v>2190</v>
      </c>
      <c r="F210" s="122" t="s">
        <v>2096</v>
      </c>
      <c r="G210" s="123">
        <v>210000</v>
      </c>
      <c r="H210" s="124">
        <v>507.875</v>
      </c>
      <c r="I210" s="124">
        <v>534.6</v>
      </c>
      <c r="J210" s="124">
        <v>508.43310000000002</v>
      </c>
      <c r="K210" s="125"/>
      <c r="N210" s="126"/>
      <c r="O210" s="127"/>
      <c r="P210" s="128"/>
      <c r="Q210" s="128"/>
    </row>
    <row r="211" spans="4:17" ht="15" customHeight="1" x14ac:dyDescent="0.25">
      <c r="D211" s="122" t="s">
        <v>2278</v>
      </c>
      <c r="E211" s="122" t="s">
        <v>2195</v>
      </c>
      <c r="F211" s="122" t="s">
        <v>2096</v>
      </c>
      <c r="G211" s="123">
        <v>3000</v>
      </c>
      <c r="H211" s="124">
        <v>5028.9867000000004</v>
      </c>
      <c r="I211" s="124">
        <v>5116.75</v>
      </c>
      <c r="J211" s="124">
        <v>39.152887499999999</v>
      </c>
      <c r="K211" s="125"/>
      <c r="N211" s="126"/>
      <c r="O211" s="127"/>
      <c r="P211" s="128"/>
      <c r="Q211" s="128"/>
    </row>
    <row r="212" spans="4:17" ht="15" customHeight="1" x14ac:dyDescent="0.25">
      <c r="D212" s="122" t="s">
        <v>2278</v>
      </c>
      <c r="E212" s="122" t="s">
        <v>2198</v>
      </c>
      <c r="F212" s="122" t="s">
        <v>2096</v>
      </c>
      <c r="G212" s="123">
        <v>9000</v>
      </c>
      <c r="H212" s="124">
        <v>601.25</v>
      </c>
      <c r="I212" s="124">
        <v>593.95000000000005</v>
      </c>
      <c r="J212" s="124">
        <v>13.431442499999999</v>
      </c>
      <c r="K212" s="125"/>
      <c r="N212" s="126"/>
      <c r="O212" s="127"/>
      <c r="P212" s="128"/>
      <c r="Q212" s="128"/>
    </row>
    <row r="213" spans="4:17" ht="15" customHeight="1" x14ac:dyDescent="0.25">
      <c r="D213" s="122" t="s">
        <v>2278</v>
      </c>
      <c r="E213" s="122" t="s">
        <v>2209</v>
      </c>
      <c r="F213" s="122" t="s">
        <v>2096</v>
      </c>
      <c r="G213" s="123">
        <v>1000</v>
      </c>
      <c r="H213" s="124">
        <v>4253.9799999999996</v>
      </c>
      <c r="I213" s="124">
        <v>4326.05</v>
      </c>
      <c r="J213" s="124">
        <v>11.676717500000001</v>
      </c>
      <c r="K213" s="125"/>
      <c r="N213" s="126"/>
      <c r="O213" s="127"/>
      <c r="P213" s="128"/>
      <c r="Q213" s="128"/>
    </row>
    <row r="214" spans="4:17" ht="15" customHeight="1" x14ac:dyDescent="0.25">
      <c r="D214" s="122" t="s">
        <v>2278</v>
      </c>
      <c r="E214" s="122" t="s">
        <v>2234</v>
      </c>
      <c r="F214" s="122" t="s">
        <v>2096</v>
      </c>
      <c r="G214" s="123">
        <v>320000</v>
      </c>
      <c r="H214" s="124">
        <v>36.137500000000003</v>
      </c>
      <c r="I214" s="124">
        <v>35.25</v>
      </c>
      <c r="J214" s="124">
        <v>48.387999999999998</v>
      </c>
      <c r="K214" s="125"/>
      <c r="N214" s="126"/>
      <c r="O214" s="127"/>
      <c r="P214" s="128"/>
      <c r="Q214" s="128"/>
    </row>
    <row r="215" spans="4:17" ht="15" customHeight="1" x14ac:dyDescent="0.25">
      <c r="D215" s="122" t="s">
        <v>2278</v>
      </c>
      <c r="E215" s="122" t="s">
        <v>2235</v>
      </c>
      <c r="F215" s="122" t="s">
        <v>2096</v>
      </c>
      <c r="G215" s="123">
        <v>6105</v>
      </c>
      <c r="H215" s="124">
        <v>1895.913301</v>
      </c>
      <c r="I215" s="124">
        <v>1926.75</v>
      </c>
      <c r="J215" s="124">
        <v>34.617336125000001</v>
      </c>
      <c r="K215" s="125"/>
      <c r="N215" s="126"/>
      <c r="O215" s="127"/>
      <c r="P215" s="128"/>
      <c r="Q215" s="128"/>
    </row>
    <row r="216" spans="4:17" ht="15" customHeight="1" x14ac:dyDescent="0.25">
      <c r="D216" s="122" t="s">
        <v>2278</v>
      </c>
      <c r="E216" s="122" t="s">
        <v>2237</v>
      </c>
      <c r="F216" s="122" t="s">
        <v>2096</v>
      </c>
      <c r="G216" s="123">
        <v>284200</v>
      </c>
      <c r="H216" s="124">
        <v>130.62909999999999</v>
      </c>
      <c r="I216" s="124">
        <v>131.05000000000001</v>
      </c>
      <c r="J216" s="124">
        <v>123.8451235</v>
      </c>
      <c r="K216" s="125"/>
      <c r="N216" s="126"/>
      <c r="O216" s="127"/>
      <c r="P216" s="128"/>
      <c r="Q216" s="128"/>
    </row>
    <row r="217" spans="4:17" ht="15" customHeight="1" x14ac:dyDescent="0.25">
      <c r="D217" s="122" t="s">
        <v>2278</v>
      </c>
      <c r="E217" s="122" t="s">
        <v>2247</v>
      </c>
      <c r="F217" s="122" t="s">
        <v>2096</v>
      </c>
      <c r="G217" s="123">
        <v>2731250</v>
      </c>
      <c r="H217" s="124">
        <v>100.18913499999999</v>
      </c>
      <c r="I217" s="124">
        <v>99.2</v>
      </c>
      <c r="J217" s="124">
        <v>1259.3793800000001</v>
      </c>
      <c r="K217" s="125"/>
      <c r="N217" s="126"/>
      <c r="O217" s="127"/>
      <c r="P217" s="128"/>
      <c r="Q217" s="128"/>
    </row>
    <row r="218" spans="4:17" ht="15" customHeight="1" x14ac:dyDescent="0.25">
      <c r="D218" s="122" t="s">
        <v>2278</v>
      </c>
      <c r="E218" s="122" t="s">
        <v>2250</v>
      </c>
      <c r="F218" s="122" t="s">
        <v>2096</v>
      </c>
      <c r="G218" s="123">
        <v>22500</v>
      </c>
      <c r="H218" s="124">
        <v>491.72</v>
      </c>
      <c r="I218" s="124">
        <v>492.5</v>
      </c>
      <c r="J218" s="124">
        <v>41.033812500000003</v>
      </c>
      <c r="K218" s="125"/>
      <c r="N218" s="126"/>
      <c r="O218" s="127"/>
      <c r="P218" s="128"/>
      <c r="Q218" s="128"/>
    </row>
    <row r="219" spans="4:17" ht="15" customHeight="1" x14ac:dyDescent="0.25">
      <c r="D219" s="122" t="s">
        <v>2278</v>
      </c>
      <c r="E219" s="122" t="s">
        <v>2254</v>
      </c>
      <c r="F219" s="122" t="s">
        <v>2096</v>
      </c>
      <c r="G219" s="123">
        <v>113250</v>
      </c>
      <c r="H219" s="124">
        <v>3745.9978569999998</v>
      </c>
      <c r="I219" s="124">
        <v>3753.3</v>
      </c>
      <c r="J219" s="124">
        <v>890.38905875</v>
      </c>
      <c r="K219" s="125"/>
      <c r="N219" s="126"/>
      <c r="O219" s="127"/>
      <c r="P219" s="128"/>
      <c r="Q219" s="128"/>
    </row>
    <row r="220" spans="4:17" ht="15" customHeight="1" x14ac:dyDescent="0.25">
      <c r="D220" s="122" t="s">
        <v>2278</v>
      </c>
      <c r="E220" s="122" t="s">
        <v>2257</v>
      </c>
      <c r="F220" s="122" t="s">
        <v>2096</v>
      </c>
      <c r="G220" s="123">
        <v>168750</v>
      </c>
      <c r="H220" s="124">
        <v>238.83793600000001</v>
      </c>
      <c r="I220" s="124">
        <v>240.05</v>
      </c>
      <c r="J220" s="124">
        <v>113.26795312500001</v>
      </c>
      <c r="K220" s="125"/>
      <c r="N220" s="126"/>
      <c r="O220" s="127"/>
      <c r="P220" s="128"/>
      <c r="Q220" s="128"/>
    </row>
    <row r="221" spans="4:17" ht="15" customHeight="1" x14ac:dyDescent="0.25">
      <c r="D221" s="122" t="s">
        <v>2278</v>
      </c>
      <c r="E221" s="122" t="s">
        <v>2272</v>
      </c>
      <c r="F221" s="122" t="s">
        <v>2096</v>
      </c>
      <c r="G221" s="123">
        <v>7800</v>
      </c>
      <c r="H221" s="124">
        <v>787.65830000000005</v>
      </c>
      <c r="I221" s="124">
        <v>774.45</v>
      </c>
      <c r="J221" s="124">
        <v>13.7339085</v>
      </c>
      <c r="K221" s="125"/>
      <c r="N221" s="126"/>
      <c r="O221" s="127"/>
      <c r="P221" s="128"/>
      <c r="Q221" s="128"/>
    </row>
    <row r="222" spans="4:17" ht="15" customHeight="1" x14ac:dyDescent="0.25">
      <c r="D222" s="122" t="s">
        <v>2278</v>
      </c>
      <c r="E222" s="122" t="s">
        <v>2273</v>
      </c>
      <c r="F222" s="122" t="s">
        <v>2096</v>
      </c>
      <c r="G222" s="123">
        <v>145700</v>
      </c>
      <c r="H222" s="124">
        <v>407.34680400000002</v>
      </c>
      <c r="I222" s="124">
        <v>405.75</v>
      </c>
      <c r="J222" s="124">
        <v>169.61119124999999</v>
      </c>
      <c r="K222" s="125"/>
      <c r="N222" s="126"/>
      <c r="O222" s="127"/>
      <c r="P222" s="128"/>
      <c r="Q222" s="128"/>
    </row>
    <row r="223" spans="4:17" ht="15" customHeight="1" x14ac:dyDescent="0.25">
      <c r="D223" s="122" t="s">
        <v>2278</v>
      </c>
      <c r="E223" s="122" t="s">
        <v>2276</v>
      </c>
      <c r="F223" s="122" t="s">
        <v>2096</v>
      </c>
      <c r="G223" s="123">
        <v>639000</v>
      </c>
      <c r="H223" s="124">
        <v>271.87862200000001</v>
      </c>
      <c r="I223" s="124">
        <v>289.2</v>
      </c>
      <c r="J223" s="124">
        <v>830.84058000000005</v>
      </c>
      <c r="K223" s="125"/>
      <c r="N223" s="126"/>
      <c r="O223" s="127"/>
      <c r="P223" s="128"/>
      <c r="Q223" s="128"/>
    </row>
    <row r="224" spans="4:17" ht="15" customHeight="1" x14ac:dyDescent="0.25">
      <c r="D224" s="122" t="s">
        <v>2279</v>
      </c>
      <c r="E224" s="122" t="s">
        <v>2102</v>
      </c>
      <c r="F224" s="122" t="s">
        <v>2096</v>
      </c>
      <c r="G224" s="123">
        <v>34000</v>
      </c>
      <c r="H224" s="124">
        <v>1973.7154</v>
      </c>
      <c r="I224" s="124">
        <v>2020.7</v>
      </c>
      <c r="J224" s="124">
        <v>192.14913000000001</v>
      </c>
      <c r="K224" s="125"/>
      <c r="N224" s="126"/>
      <c r="O224" s="127"/>
      <c r="P224" s="128"/>
      <c r="Q224" s="128"/>
    </row>
    <row r="225" spans="4:17" ht="15" customHeight="1" x14ac:dyDescent="0.25">
      <c r="D225" s="122" t="s">
        <v>2279</v>
      </c>
      <c r="E225" s="122" t="s">
        <v>2103</v>
      </c>
      <c r="F225" s="122" t="s">
        <v>2096</v>
      </c>
      <c r="G225" s="123">
        <v>152500</v>
      </c>
      <c r="H225" s="124">
        <v>750.22458900000004</v>
      </c>
      <c r="I225" s="124">
        <v>777.85</v>
      </c>
      <c r="J225" s="124">
        <v>460.70593124999999</v>
      </c>
      <c r="K225" s="125"/>
      <c r="N225" s="126"/>
      <c r="O225" s="127"/>
      <c r="P225" s="128"/>
      <c r="Q225" s="128"/>
    </row>
    <row r="226" spans="4:17" ht="15" customHeight="1" x14ac:dyDescent="0.25">
      <c r="D226" s="122" t="s">
        <v>2279</v>
      </c>
      <c r="E226" s="122" t="s">
        <v>2106</v>
      </c>
      <c r="F226" s="122" t="s">
        <v>2096</v>
      </c>
      <c r="G226" s="123">
        <v>13000</v>
      </c>
      <c r="H226" s="124">
        <v>545.87689999999998</v>
      </c>
      <c r="I226" s="124">
        <v>539.70000000000005</v>
      </c>
      <c r="J226" s="124">
        <v>13.744835</v>
      </c>
      <c r="K226" s="125"/>
      <c r="N226" s="126"/>
      <c r="O226" s="127"/>
      <c r="P226" s="128"/>
      <c r="Q226" s="128"/>
    </row>
    <row r="227" spans="4:17" ht="15" customHeight="1" x14ac:dyDescent="0.25">
      <c r="D227" s="122" t="s">
        <v>2279</v>
      </c>
      <c r="E227" s="122" t="s">
        <v>2108</v>
      </c>
      <c r="F227" s="122" t="s">
        <v>2096</v>
      </c>
      <c r="G227" s="123">
        <v>1000</v>
      </c>
      <c r="H227" s="124">
        <v>4589.9312</v>
      </c>
      <c r="I227" s="124">
        <v>4542.5</v>
      </c>
      <c r="J227" s="124">
        <v>11.256575</v>
      </c>
      <c r="K227" s="125"/>
      <c r="N227" s="126"/>
      <c r="O227" s="127"/>
      <c r="P227" s="128"/>
      <c r="Q227" s="128"/>
    </row>
    <row r="228" spans="4:17" ht="15" customHeight="1" x14ac:dyDescent="0.25">
      <c r="D228" s="122" t="s">
        <v>2279</v>
      </c>
      <c r="E228" s="122" t="s">
        <v>2111</v>
      </c>
      <c r="F228" s="122" t="s">
        <v>2096</v>
      </c>
      <c r="G228" s="123">
        <v>2400</v>
      </c>
      <c r="H228" s="124">
        <v>3130.2656000000002</v>
      </c>
      <c r="I228" s="124">
        <v>3097.45</v>
      </c>
      <c r="J228" s="124">
        <v>14.021538</v>
      </c>
      <c r="K228" s="125"/>
      <c r="N228" s="126"/>
      <c r="O228" s="127"/>
      <c r="P228" s="128"/>
      <c r="Q228" s="128"/>
    </row>
    <row r="229" spans="4:17" ht="15" customHeight="1" x14ac:dyDescent="0.25">
      <c r="D229" s="122" t="s">
        <v>2279</v>
      </c>
      <c r="E229" s="122" t="s">
        <v>2115</v>
      </c>
      <c r="F229" s="122" t="s">
        <v>2096</v>
      </c>
      <c r="G229" s="123">
        <v>9600</v>
      </c>
      <c r="H229" s="124">
        <v>758.11249999999995</v>
      </c>
      <c r="I229" s="124">
        <v>763.2</v>
      </c>
      <c r="J229" s="124">
        <v>18.063551999999998</v>
      </c>
      <c r="K229" s="125"/>
      <c r="N229" s="126"/>
      <c r="O229" s="127"/>
      <c r="P229" s="128"/>
      <c r="Q229" s="128"/>
    </row>
    <row r="230" spans="4:17" ht="15" customHeight="1" x14ac:dyDescent="0.25">
      <c r="D230" s="122" t="s">
        <v>2279</v>
      </c>
      <c r="E230" s="122" t="s">
        <v>2116</v>
      </c>
      <c r="F230" s="122" t="s">
        <v>2096</v>
      </c>
      <c r="G230" s="123">
        <v>6500</v>
      </c>
      <c r="H230" s="124">
        <v>7346.7614800000001</v>
      </c>
      <c r="I230" s="124">
        <v>7304.75</v>
      </c>
      <c r="J230" s="124">
        <v>114.89635625</v>
      </c>
      <c r="K230" s="125"/>
      <c r="N230" s="126"/>
      <c r="O230" s="127"/>
      <c r="P230" s="128"/>
      <c r="Q230" s="128"/>
    </row>
    <row r="231" spans="4:17" ht="15" customHeight="1" x14ac:dyDescent="0.25">
      <c r="D231" s="122" t="s">
        <v>2279</v>
      </c>
      <c r="E231" s="122" t="s">
        <v>2121</v>
      </c>
      <c r="F231" s="122" t="s">
        <v>2096</v>
      </c>
      <c r="G231" s="123">
        <v>35100</v>
      </c>
      <c r="H231" s="124">
        <v>113.7</v>
      </c>
      <c r="I231" s="124">
        <v>112.3</v>
      </c>
      <c r="J231" s="124">
        <v>14.7070755</v>
      </c>
      <c r="K231" s="125"/>
      <c r="N231" s="126"/>
      <c r="O231" s="127"/>
      <c r="P231" s="128"/>
      <c r="Q231" s="128"/>
    </row>
    <row r="232" spans="4:17" ht="15" customHeight="1" x14ac:dyDescent="0.25">
      <c r="D232" s="122" t="s">
        <v>2279</v>
      </c>
      <c r="E232" s="122" t="s">
        <v>2128</v>
      </c>
      <c r="F232" s="122" t="s">
        <v>2096</v>
      </c>
      <c r="G232" s="123">
        <v>14250</v>
      </c>
      <c r="H232" s="124">
        <v>727.65329999999994</v>
      </c>
      <c r="I232" s="124">
        <v>757.3</v>
      </c>
      <c r="J232" s="124">
        <v>26.78936375</v>
      </c>
      <c r="K232" s="125"/>
      <c r="N232" s="126"/>
      <c r="O232" s="127"/>
      <c r="P232" s="128"/>
      <c r="Q232" s="128"/>
    </row>
    <row r="233" spans="4:17" ht="15" customHeight="1" x14ac:dyDescent="0.25">
      <c r="D233" s="122" t="s">
        <v>2279</v>
      </c>
      <c r="E233" s="122" t="s">
        <v>2133</v>
      </c>
      <c r="F233" s="122" t="s">
        <v>2096</v>
      </c>
      <c r="G233" s="123">
        <v>16200</v>
      </c>
      <c r="H233" s="124">
        <v>231.65</v>
      </c>
      <c r="I233" s="124">
        <v>229.1</v>
      </c>
      <c r="J233" s="124">
        <v>10.374236999999999</v>
      </c>
      <c r="K233" s="125"/>
      <c r="N233" s="126"/>
      <c r="O233" s="127"/>
      <c r="P233" s="128"/>
      <c r="Q233" s="128"/>
    </row>
    <row r="234" spans="4:17" ht="15" customHeight="1" x14ac:dyDescent="0.25">
      <c r="D234" s="122" t="s">
        <v>2279</v>
      </c>
      <c r="E234" s="122" t="s">
        <v>2095</v>
      </c>
      <c r="F234" s="122" t="s">
        <v>2096</v>
      </c>
      <c r="G234" s="123">
        <v>46200</v>
      </c>
      <c r="H234" s="124">
        <v>1627.8066449999999</v>
      </c>
      <c r="I234" s="124">
        <v>1510.9</v>
      </c>
      <c r="J234" s="124">
        <v>207.81822600000001</v>
      </c>
      <c r="K234" s="125"/>
      <c r="N234" s="126"/>
      <c r="O234" s="127"/>
      <c r="P234" s="128"/>
      <c r="Q234" s="128"/>
    </row>
    <row r="235" spans="4:17" ht="15" customHeight="1" x14ac:dyDescent="0.25">
      <c r="D235" s="122" t="s">
        <v>2279</v>
      </c>
      <c r="E235" s="122" t="s">
        <v>2158</v>
      </c>
      <c r="F235" s="122" t="s">
        <v>2096</v>
      </c>
      <c r="G235" s="123">
        <v>19950</v>
      </c>
      <c r="H235" s="124">
        <v>1664.601167</v>
      </c>
      <c r="I235" s="124">
        <v>1672.85</v>
      </c>
      <c r="J235" s="124">
        <v>83.624365124999997</v>
      </c>
      <c r="K235" s="125"/>
      <c r="N235" s="126"/>
      <c r="O235" s="127"/>
      <c r="P235" s="128"/>
      <c r="Q235" s="128"/>
    </row>
    <row r="236" spans="4:17" ht="15" customHeight="1" x14ac:dyDescent="0.25">
      <c r="D236" s="122" t="s">
        <v>2279</v>
      </c>
      <c r="E236" s="122" t="s">
        <v>2163</v>
      </c>
      <c r="F236" s="122" t="s">
        <v>2096</v>
      </c>
      <c r="G236" s="123">
        <v>6300</v>
      </c>
      <c r="H236" s="124">
        <v>1169.5166670000001</v>
      </c>
      <c r="I236" s="124">
        <v>1165.0999999999999</v>
      </c>
      <c r="J236" s="124">
        <v>17.222845500000002</v>
      </c>
      <c r="K236" s="125"/>
      <c r="N236" s="126"/>
      <c r="O236" s="127">
        <f t="shared" ref="O236:O253" si="4">G236*I236</f>
        <v>7340129.9999999991</v>
      </c>
      <c r="P236" s="128"/>
      <c r="Q236" s="128"/>
    </row>
    <row r="237" spans="4:17" ht="15" customHeight="1" x14ac:dyDescent="0.25">
      <c r="D237" s="122" t="s">
        <v>2279</v>
      </c>
      <c r="E237" s="122" t="s">
        <v>2171</v>
      </c>
      <c r="F237" s="122" t="s">
        <v>2096</v>
      </c>
      <c r="G237" s="123">
        <v>3600</v>
      </c>
      <c r="H237" s="124">
        <v>2044.1207999999999</v>
      </c>
      <c r="I237" s="124">
        <v>2055.0500000000002</v>
      </c>
      <c r="J237" s="124">
        <v>13.076523</v>
      </c>
      <c r="K237" s="125"/>
      <c r="N237" s="126"/>
      <c r="O237" s="127">
        <f t="shared" si="4"/>
        <v>7398180.0000000009</v>
      </c>
      <c r="P237" s="128"/>
      <c r="Q237" s="128"/>
    </row>
    <row r="238" spans="4:17" ht="15" customHeight="1" x14ac:dyDescent="0.25">
      <c r="D238" s="122" t="s">
        <v>2279</v>
      </c>
      <c r="E238" s="122" t="s">
        <v>2172</v>
      </c>
      <c r="F238" s="122" t="s">
        <v>2096</v>
      </c>
      <c r="G238" s="123">
        <v>3000</v>
      </c>
      <c r="H238" s="124">
        <v>2410.2950000000001</v>
      </c>
      <c r="I238" s="124">
        <v>2402.9</v>
      </c>
      <c r="J238" s="124">
        <v>18.596744999999999</v>
      </c>
      <c r="K238" s="125"/>
      <c r="N238" s="126"/>
      <c r="O238" s="127">
        <f t="shared" si="4"/>
        <v>7208700</v>
      </c>
      <c r="P238" s="128"/>
      <c r="Q238" s="128"/>
    </row>
    <row r="239" spans="4:17" ht="15" customHeight="1" x14ac:dyDescent="0.25">
      <c r="D239" s="122" t="s">
        <v>2279</v>
      </c>
      <c r="E239" s="122" t="s">
        <v>2173</v>
      </c>
      <c r="F239" s="122" t="s">
        <v>2096</v>
      </c>
      <c r="G239" s="123">
        <v>9625</v>
      </c>
      <c r="H239" s="124">
        <v>733.964201</v>
      </c>
      <c r="I239" s="124">
        <v>731.6</v>
      </c>
      <c r="J239" s="124">
        <v>15.1628375</v>
      </c>
      <c r="K239" s="125"/>
      <c r="N239" s="126"/>
      <c r="O239" s="127">
        <f t="shared" si="4"/>
        <v>7041650</v>
      </c>
      <c r="P239" s="128"/>
      <c r="Q239" s="128"/>
    </row>
    <row r="240" spans="4:17" ht="15" customHeight="1" x14ac:dyDescent="0.25">
      <c r="D240" s="122" t="s">
        <v>2279</v>
      </c>
      <c r="E240" s="122" t="s">
        <v>2189</v>
      </c>
      <c r="F240" s="122" t="s">
        <v>2096</v>
      </c>
      <c r="G240" s="123">
        <v>25600</v>
      </c>
      <c r="H240" s="124">
        <v>251.625</v>
      </c>
      <c r="I240" s="124">
        <v>252.1</v>
      </c>
      <c r="J240" s="124">
        <v>14.047616000000001</v>
      </c>
      <c r="K240" s="125"/>
      <c r="N240" s="126"/>
      <c r="O240" s="127">
        <f t="shared" si="4"/>
        <v>6453760</v>
      </c>
      <c r="P240" s="128"/>
      <c r="Q240" s="128"/>
    </row>
    <row r="241" spans="4:17" ht="15" customHeight="1" x14ac:dyDescent="0.25">
      <c r="D241" s="122" t="s">
        <v>2279</v>
      </c>
      <c r="E241" s="122" t="s">
        <v>2190</v>
      </c>
      <c r="F241" s="122" t="s">
        <v>2096</v>
      </c>
      <c r="G241" s="123">
        <v>65000</v>
      </c>
      <c r="H241" s="124">
        <v>530.64229999999998</v>
      </c>
      <c r="I241" s="124">
        <v>534.6</v>
      </c>
      <c r="J241" s="124">
        <v>157.37215</v>
      </c>
      <c r="K241" s="125"/>
      <c r="N241" s="126"/>
      <c r="O241" s="127">
        <f t="shared" si="4"/>
        <v>34749000</v>
      </c>
      <c r="P241" s="128"/>
      <c r="Q241" s="128"/>
    </row>
    <row r="242" spans="4:17" ht="15" customHeight="1" x14ac:dyDescent="0.25">
      <c r="D242" s="122" t="s">
        <v>2279</v>
      </c>
      <c r="E242" s="122" t="s">
        <v>2193</v>
      </c>
      <c r="F242" s="122" t="s">
        <v>2096</v>
      </c>
      <c r="G242" s="123">
        <v>250</v>
      </c>
      <c r="H242" s="124">
        <v>2680.6</v>
      </c>
      <c r="I242" s="124">
        <v>2652.7</v>
      </c>
      <c r="J242" s="124">
        <v>2.7718612500000002</v>
      </c>
      <c r="K242" s="125"/>
      <c r="N242" s="126"/>
      <c r="O242" s="127">
        <f t="shared" si="4"/>
        <v>663175</v>
      </c>
      <c r="P242" s="128"/>
      <c r="Q242" s="128"/>
    </row>
    <row r="243" spans="4:17" ht="15" customHeight="1" x14ac:dyDescent="0.25">
      <c r="D243" s="122" t="s">
        <v>2279</v>
      </c>
      <c r="E243" s="122" t="s">
        <v>2220</v>
      </c>
      <c r="F243" s="122" t="s">
        <v>2096</v>
      </c>
      <c r="G243" s="123">
        <v>57000</v>
      </c>
      <c r="H243" s="124">
        <v>135.63999999999999</v>
      </c>
      <c r="I243" s="124">
        <v>135.9</v>
      </c>
      <c r="J243" s="124">
        <v>18.517305</v>
      </c>
      <c r="K243" s="125"/>
      <c r="N243" s="126"/>
      <c r="O243" s="127">
        <f t="shared" si="4"/>
        <v>7746300</v>
      </c>
      <c r="P243" s="128"/>
      <c r="Q243" s="128"/>
    </row>
    <row r="244" spans="4:17" ht="15" customHeight="1" x14ac:dyDescent="0.25">
      <c r="D244" s="122" t="s">
        <v>2279</v>
      </c>
      <c r="E244" s="122" t="s">
        <v>2239</v>
      </c>
      <c r="F244" s="122" t="s">
        <v>2096</v>
      </c>
      <c r="G244" s="123">
        <v>56250</v>
      </c>
      <c r="H244" s="124">
        <v>2658.3297400000001</v>
      </c>
      <c r="I244" s="124">
        <v>2650.45</v>
      </c>
      <c r="J244" s="124">
        <v>328.480734375</v>
      </c>
      <c r="K244" s="125"/>
      <c r="N244" s="126"/>
      <c r="O244" s="127">
        <f t="shared" si="4"/>
        <v>149087812.5</v>
      </c>
      <c r="P244" s="128"/>
      <c r="Q244" s="128"/>
    </row>
    <row r="245" spans="4:17" ht="15" customHeight="1" x14ac:dyDescent="0.25">
      <c r="D245" s="122" t="s">
        <v>2279</v>
      </c>
      <c r="E245" s="122" t="s">
        <v>2241</v>
      </c>
      <c r="F245" s="122" t="s">
        <v>2096</v>
      </c>
      <c r="G245" s="123">
        <v>3750</v>
      </c>
      <c r="H245" s="124">
        <v>1114.56</v>
      </c>
      <c r="I245" s="124">
        <v>1125.2</v>
      </c>
      <c r="J245" s="124">
        <v>11.552705</v>
      </c>
      <c r="K245" s="125"/>
      <c r="N245" s="126"/>
      <c r="O245" s="127">
        <f t="shared" si="4"/>
        <v>4219500</v>
      </c>
      <c r="P245" s="128"/>
      <c r="Q245" s="128"/>
    </row>
    <row r="246" spans="4:17" ht="15" customHeight="1" x14ac:dyDescent="0.25">
      <c r="D246" s="122" t="s">
        <v>2279</v>
      </c>
      <c r="E246" s="122" t="s">
        <v>2246</v>
      </c>
      <c r="F246" s="122" t="s">
        <v>2096</v>
      </c>
      <c r="G246" s="123">
        <v>15000</v>
      </c>
      <c r="H246" s="124">
        <v>497.24</v>
      </c>
      <c r="I246" s="124">
        <v>496.1</v>
      </c>
      <c r="J246" s="124">
        <v>26.067525</v>
      </c>
      <c r="K246" s="125"/>
      <c r="N246" s="126"/>
      <c r="O246" s="127">
        <f t="shared" si="4"/>
        <v>7441500</v>
      </c>
      <c r="P246" s="128"/>
      <c r="Q246" s="128"/>
    </row>
    <row r="247" spans="4:17" ht="15" customHeight="1" x14ac:dyDescent="0.25">
      <c r="D247" s="122" t="s">
        <v>2279</v>
      </c>
      <c r="E247" s="122" t="s">
        <v>2247</v>
      </c>
      <c r="F247" s="122" t="s">
        <v>2096</v>
      </c>
      <c r="G247" s="123">
        <v>323000</v>
      </c>
      <c r="H247" s="124">
        <v>99.681600000000003</v>
      </c>
      <c r="I247" s="124">
        <v>99.2</v>
      </c>
      <c r="J247" s="124">
        <v>148.93530000000001</v>
      </c>
      <c r="K247" s="125"/>
      <c r="N247" s="126"/>
      <c r="O247" s="127">
        <f t="shared" si="4"/>
        <v>32041600</v>
      </c>
      <c r="P247" s="128"/>
      <c r="Q247" s="128"/>
    </row>
    <row r="248" spans="4:17" ht="15" customHeight="1" x14ac:dyDescent="0.25">
      <c r="D248" s="122" t="s">
        <v>2279</v>
      </c>
      <c r="E248" s="122" t="s">
        <v>2250</v>
      </c>
      <c r="F248" s="122" t="s">
        <v>2096</v>
      </c>
      <c r="G248" s="123">
        <v>102000</v>
      </c>
      <c r="H248" s="124">
        <v>489.65800000000002</v>
      </c>
      <c r="I248" s="124">
        <v>492.5</v>
      </c>
      <c r="J248" s="124">
        <v>186.01994999999999</v>
      </c>
      <c r="K248" s="125"/>
      <c r="N248" s="126"/>
      <c r="O248" s="127">
        <f t="shared" si="4"/>
        <v>50235000</v>
      </c>
      <c r="P248" s="128"/>
      <c r="Q248" s="128"/>
    </row>
    <row r="249" spans="4:17" ht="15" customHeight="1" x14ac:dyDescent="0.25">
      <c r="D249" s="122" t="s">
        <v>2279</v>
      </c>
      <c r="E249" s="122" t="s">
        <v>2254</v>
      </c>
      <c r="F249" s="122" t="s">
        <v>2096</v>
      </c>
      <c r="G249" s="123">
        <v>1950</v>
      </c>
      <c r="H249" s="124">
        <v>3762.0653029999999</v>
      </c>
      <c r="I249" s="124">
        <v>3753.3</v>
      </c>
      <c r="J249" s="124">
        <v>15.33120725</v>
      </c>
      <c r="K249" s="125"/>
      <c r="N249" s="126"/>
      <c r="O249" s="127">
        <f t="shared" si="4"/>
        <v>7318935</v>
      </c>
      <c r="P249" s="128"/>
      <c r="Q249" s="128"/>
    </row>
    <row r="250" spans="4:17" ht="15" customHeight="1" x14ac:dyDescent="0.25">
      <c r="D250" s="122" t="s">
        <v>2279</v>
      </c>
      <c r="E250" s="122" t="s">
        <v>2258</v>
      </c>
      <c r="F250" s="122" t="s">
        <v>2096</v>
      </c>
      <c r="G250" s="123">
        <v>67150</v>
      </c>
      <c r="H250" s="124">
        <v>1327.444892</v>
      </c>
      <c r="I250" s="124">
        <v>1315.05</v>
      </c>
      <c r="J250" s="124">
        <v>278.81133262499998</v>
      </c>
      <c r="K250" s="125"/>
      <c r="N250" s="126"/>
      <c r="O250" s="127">
        <f t="shared" si="4"/>
        <v>88305607.5</v>
      </c>
      <c r="P250" s="128"/>
      <c r="Q250" s="128"/>
    </row>
    <row r="251" spans="4:17" ht="15" customHeight="1" x14ac:dyDescent="0.25">
      <c r="D251" s="122" t="s">
        <v>2279</v>
      </c>
      <c r="E251" s="122" t="s">
        <v>2272</v>
      </c>
      <c r="F251" s="122" t="s">
        <v>2096</v>
      </c>
      <c r="G251" s="123">
        <v>5200</v>
      </c>
      <c r="H251" s="124">
        <v>787.15</v>
      </c>
      <c r="I251" s="124">
        <v>774.45</v>
      </c>
      <c r="J251" s="124">
        <v>9.155939</v>
      </c>
      <c r="K251" s="125"/>
      <c r="N251" s="126"/>
      <c r="O251" s="127">
        <f t="shared" si="4"/>
        <v>4027140.0000000005</v>
      </c>
      <c r="P251" s="128"/>
      <c r="Q251" s="128"/>
    </row>
    <row r="252" spans="4:17" ht="15" customHeight="1" x14ac:dyDescent="0.25">
      <c r="D252" s="122" t="s">
        <v>2279</v>
      </c>
      <c r="E252" s="122" t="s">
        <v>2273</v>
      </c>
      <c r="F252" s="122" t="s">
        <v>2096</v>
      </c>
      <c r="G252" s="123">
        <v>24800</v>
      </c>
      <c r="H252" s="124">
        <v>411.75</v>
      </c>
      <c r="I252" s="124">
        <v>405.75</v>
      </c>
      <c r="J252" s="124">
        <v>28.869990000000001</v>
      </c>
      <c r="K252" s="125"/>
      <c r="N252" s="126"/>
      <c r="O252" s="127">
        <f t="shared" si="4"/>
        <v>10062600</v>
      </c>
      <c r="P252" s="128"/>
      <c r="Q252" s="128"/>
    </row>
    <row r="253" spans="4:17" ht="15" customHeight="1" x14ac:dyDescent="0.25">
      <c r="D253" s="122" t="s">
        <v>2279</v>
      </c>
      <c r="E253" s="122" t="s">
        <v>2276</v>
      </c>
      <c r="F253" s="122" t="s">
        <v>2096</v>
      </c>
      <c r="G253" s="123">
        <v>66000</v>
      </c>
      <c r="H253" s="124">
        <v>290.99545499999999</v>
      </c>
      <c r="I253" s="124">
        <v>289.2</v>
      </c>
      <c r="J253" s="124">
        <v>85.814520000000002</v>
      </c>
      <c r="K253" s="125"/>
      <c r="N253" s="126"/>
      <c r="O253" s="127">
        <f t="shared" si="4"/>
        <v>19087200</v>
      </c>
      <c r="P253" s="128"/>
      <c r="Q253" s="128"/>
    </row>
    <row r="254" spans="4:17" ht="15" customHeight="1" x14ac:dyDescent="0.25">
      <c r="D254" s="130"/>
      <c r="G254" s="131"/>
      <c r="H254" s="127"/>
      <c r="I254" s="127"/>
      <c r="J254" s="127"/>
      <c r="K254" s="125"/>
      <c r="P254" s="128"/>
      <c r="Q254" s="128"/>
    </row>
    <row r="255" spans="4:17" ht="15" customHeight="1" x14ac:dyDescent="0.25">
      <c r="D255" s="117" t="s">
        <v>2280</v>
      </c>
      <c r="N255" s="132"/>
    </row>
    <row r="256" spans="4:17" ht="15" customHeight="1" x14ac:dyDescent="0.25">
      <c r="D256" s="119" t="s">
        <v>2088</v>
      </c>
      <c r="E256" s="119" t="s">
        <v>2281</v>
      </c>
      <c r="O256" s="118" t="s">
        <v>2282</v>
      </c>
      <c r="P256" s="118" t="s">
        <v>2283</v>
      </c>
      <c r="Q256" s="118" t="s">
        <v>2284</v>
      </c>
    </row>
    <row r="257" spans="1:17" ht="15" customHeight="1" x14ac:dyDescent="0.25">
      <c r="A257" s="118" t="s">
        <v>2285</v>
      </c>
      <c r="D257" s="122" t="s">
        <v>2097</v>
      </c>
      <c r="E257" s="133">
        <v>0.7198642738929053</v>
      </c>
      <c r="G257" s="134"/>
      <c r="N257" s="132"/>
      <c r="O257" s="118">
        <v>61967628533.940002</v>
      </c>
      <c r="P257" s="132">
        <f>SUMIF($D$7:$D$253,D257,$O$7:$O$253)</f>
        <v>44608281919.449997</v>
      </c>
      <c r="Q257" s="118">
        <f>P257/O257</f>
        <v>0.7198642738929053</v>
      </c>
    </row>
    <row r="258" spans="1:17" ht="15" customHeight="1" x14ac:dyDescent="0.25">
      <c r="A258" s="118" t="s">
        <v>2286</v>
      </c>
      <c r="D258" s="122" t="s">
        <v>2278</v>
      </c>
      <c r="E258" s="133">
        <v>4.0413518861757126E-2</v>
      </c>
      <c r="G258" s="134"/>
      <c r="N258" s="132"/>
      <c r="O258" s="118">
        <v>78427008907.389999</v>
      </c>
      <c r="P258" s="132">
        <f>SUMIF($D$7:$D$253,D258,$O$7:$O$253)</f>
        <v>1889791357.5</v>
      </c>
      <c r="Q258" s="118">
        <f>P258/O258</f>
        <v>2.4096180433599696E-2</v>
      </c>
    </row>
    <row r="259" spans="1:17" ht="15" customHeight="1" x14ac:dyDescent="0.25">
      <c r="A259" s="114" t="s">
        <v>2287</v>
      </c>
      <c r="D259" s="122" t="s">
        <v>2279</v>
      </c>
      <c r="E259" s="133">
        <v>0.25921690443978107</v>
      </c>
      <c r="G259" s="134"/>
      <c r="N259" s="132"/>
      <c r="O259" s="118">
        <v>3214201652.0900002</v>
      </c>
      <c r="P259" s="132">
        <f>SUMIF($D$7:$D$253,D259,$O$7:$O$253)</f>
        <v>450427790</v>
      </c>
      <c r="Q259" s="118">
        <f>P259/O259</f>
        <v>0.14013675517437252</v>
      </c>
    </row>
    <row r="260" spans="1:17" ht="15" customHeight="1" x14ac:dyDescent="0.25">
      <c r="A260"/>
      <c r="D260" s="122" t="s">
        <v>2094</v>
      </c>
      <c r="E260" s="133">
        <v>2.1621249606045646E-2</v>
      </c>
      <c r="G260" s="134"/>
      <c r="N260" s="132"/>
      <c r="P260" s="132"/>
    </row>
    <row r="262" spans="1:17" ht="15" customHeight="1" x14ac:dyDescent="0.25">
      <c r="C262" s="116" t="s">
        <v>2288</v>
      </c>
      <c r="D262" s="117" t="s">
        <v>2289</v>
      </c>
    </row>
    <row r="263" spans="1:17" ht="25.5" x14ac:dyDescent="0.25">
      <c r="D263" s="119" t="s">
        <v>2088</v>
      </c>
      <c r="E263" s="119" t="s">
        <v>2290</v>
      </c>
      <c r="F263" s="135" t="s">
        <v>2291</v>
      </c>
      <c r="G263" s="135" t="s">
        <v>2292</v>
      </c>
      <c r="H263" s="135" t="s">
        <v>2293</v>
      </c>
      <c r="I263" s="135" t="s">
        <v>2294</v>
      </c>
    </row>
    <row r="264" spans="1:17" ht="15" customHeight="1" x14ac:dyDescent="0.25">
      <c r="D264" s="122" t="s">
        <v>2097</v>
      </c>
      <c r="E264" s="123">
        <v>480243</v>
      </c>
      <c r="F264" s="123">
        <v>430758</v>
      </c>
      <c r="G264" s="136">
        <v>341772310991.198</v>
      </c>
      <c r="H264" s="136">
        <v>300068245837.93317</v>
      </c>
      <c r="I264" s="136">
        <v>1093370209.3016572</v>
      </c>
      <c r="J264" s="131"/>
    </row>
    <row r="265" spans="1:17" ht="15" customHeight="1" x14ac:dyDescent="0.25">
      <c r="D265" s="122" t="s">
        <v>2278</v>
      </c>
      <c r="E265" s="123">
        <v>40698</v>
      </c>
      <c r="F265" s="123">
        <v>41890</v>
      </c>
      <c r="G265" s="136">
        <v>31076165730.533112</v>
      </c>
      <c r="H265" s="136">
        <v>31727868723.308689</v>
      </c>
      <c r="I265" s="136">
        <v>329115785.40469158</v>
      </c>
    </row>
    <row r="266" spans="1:17" ht="15" customHeight="1" x14ac:dyDescent="0.25">
      <c r="D266" s="122" t="s">
        <v>2279</v>
      </c>
      <c r="E266" s="123">
        <v>8148</v>
      </c>
      <c r="F266" s="123">
        <v>7163</v>
      </c>
      <c r="G266" s="136">
        <v>6007704138.8218002</v>
      </c>
      <c r="H266" s="136">
        <v>5147798679.3493023</v>
      </c>
      <c r="I266" s="136">
        <v>-39190137.889999986</v>
      </c>
    </row>
    <row r="267" spans="1:17" ht="15" customHeight="1" x14ac:dyDescent="0.25">
      <c r="E267" s="137"/>
      <c r="F267" s="137"/>
      <c r="G267" s="131"/>
      <c r="H267" s="131"/>
      <c r="I267" s="131"/>
    </row>
    <row r="269" spans="1:17" ht="15" customHeight="1" x14ac:dyDescent="0.25">
      <c r="C269" s="116" t="s">
        <v>2295</v>
      </c>
      <c r="D269" s="117" t="s">
        <v>2296</v>
      </c>
    </row>
    <row r="270" spans="1:17" ht="25.5" x14ac:dyDescent="0.25">
      <c r="D270" s="119" t="s">
        <v>2088</v>
      </c>
      <c r="E270" s="119" t="s">
        <v>2089</v>
      </c>
      <c r="F270" s="119" t="s">
        <v>2090</v>
      </c>
      <c r="G270" s="119" t="s">
        <v>2</v>
      </c>
      <c r="H270" s="119" t="s">
        <v>2091</v>
      </c>
      <c r="I270" s="119" t="s">
        <v>2092</v>
      </c>
      <c r="J270" s="119" t="s">
        <v>2093</v>
      </c>
      <c r="K270" s="135" t="s">
        <v>2297</v>
      </c>
      <c r="O270" s="117" t="s">
        <v>2282</v>
      </c>
      <c r="P270" s="117" t="s">
        <v>2283</v>
      </c>
      <c r="Q270" s="117" t="s">
        <v>2284</v>
      </c>
    </row>
    <row r="271" spans="1:17" ht="15" customHeight="1" x14ac:dyDescent="0.25">
      <c r="A271" s="114" t="s">
        <v>2298</v>
      </c>
      <c r="D271" s="122" t="s">
        <v>2094</v>
      </c>
      <c r="E271" s="122" t="s">
        <v>2164</v>
      </c>
      <c r="F271" s="122" t="s">
        <v>2299</v>
      </c>
      <c r="G271" s="136">
        <v>28050</v>
      </c>
      <c r="H271" s="124">
        <v>1460.5048999999999</v>
      </c>
      <c r="I271" s="124">
        <v>1475.7</v>
      </c>
      <c r="J271" s="124">
        <v>73.325364749999991</v>
      </c>
      <c r="K271" s="133">
        <f>Q271</f>
        <v>2.1979471354763813E-2</v>
      </c>
      <c r="L271" s="127"/>
      <c r="O271" s="118">
        <v>1883274821.8500001</v>
      </c>
      <c r="P271" s="118">
        <f>G271*I271</f>
        <v>41393385</v>
      </c>
      <c r="Q271" s="118">
        <f>P271/O271</f>
        <v>2.1979471354763813E-2</v>
      </c>
    </row>
    <row r="272" spans="1:17" ht="15" customHeight="1" x14ac:dyDescent="0.25">
      <c r="A272" s="114" t="s">
        <v>2298</v>
      </c>
      <c r="D272" s="122" t="s">
        <v>2094</v>
      </c>
      <c r="E272" s="122" t="s">
        <v>1075</v>
      </c>
      <c r="F272" s="122" t="s">
        <v>2299</v>
      </c>
      <c r="G272" s="136">
        <v>225</v>
      </c>
      <c r="H272" s="124">
        <v>35312.888800000001</v>
      </c>
      <c r="I272" s="124">
        <v>36553.949999999997</v>
      </c>
      <c r="J272" s="124">
        <v>13.323557749999999</v>
      </c>
      <c r="K272" s="133">
        <f t="shared" ref="K272:K294" si="5">Q272</f>
        <v>4.3672005033873265E-3</v>
      </c>
      <c r="L272" s="127"/>
      <c r="O272" s="118">
        <v>1883274821.8500001</v>
      </c>
      <c r="P272" s="118">
        <f t="shared" ref="P272:P294" si="6">G272*I272</f>
        <v>8224638.7499999991</v>
      </c>
      <c r="Q272" s="118">
        <f t="shared" ref="Q272:Q294" si="7">P272/O272</f>
        <v>4.3672005033873265E-3</v>
      </c>
    </row>
    <row r="273" spans="1:17" ht="15" customHeight="1" x14ac:dyDescent="0.25">
      <c r="A273" s="114" t="s">
        <v>2298</v>
      </c>
      <c r="D273" s="122" t="s">
        <v>2278</v>
      </c>
      <c r="E273" s="122" t="s">
        <v>2300</v>
      </c>
      <c r="F273" s="122" t="s">
        <v>2299</v>
      </c>
      <c r="G273" s="136">
        <v>115500</v>
      </c>
      <c r="H273" s="124">
        <v>3673.7236630000002</v>
      </c>
      <c r="I273" s="124">
        <v>3667.45</v>
      </c>
      <c r="J273" s="124">
        <v>888.13811625000005</v>
      </c>
      <c r="K273" s="133">
        <f t="shared" si="5"/>
        <v>5.4010790530108566E-3</v>
      </c>
      <c r="L273" s="127"/>
      <c r="O273" s="118">
        <v>78427008907.389999</v>
      </c>
      <c r="P273" s="118">
        <f t="shared" si="6"/>
        <v>423590475</v>
      </c>
      <c r="Q273" s="118">
        <f t="shared" si="7"/>
        <v>5.4010790530108566E-3</v>
      </c>
    </row>
    <row r="274" spans="1:17" ht="15" customHeight="1" x14ac:dyDescent="0.25">
      <c r="A274" s="114" t="s">
        <v>2286</v>
      </c>
      <c r="D274" s="122" t="s">
        <v>2278</v>
      </c>
      <c r="E274" s="122" t="s">
        <v>2301</v>
      </c>
      <c r="F274" s="122" t="s">
        <v>2299</v>
      </c>
      <c r="G274" s="136">
        <v>18200</v>
      </c>
      <c r="H274" s="124">
        <v>1546.1172999999999</v>
      </c>
      <c r="I274" s="124">
        <v>1544.8</v>
      </c>
      <c r="J274" s="124">
        <v>49.884015999999995</v>
      </c>
      <c r="K274" s="133">
        <f t="shared" si="5"/>
        <v>3.5849078514775225E-4</v>
      </c>
      <c r="L274" s="127"/>
      <c r="O274" s="118">
        <v>78427008907.389999</v>
      </c>
      <c r="P274" s="118">
        <f t="shared" si="6"/>
        <v>28115360</v>
      </c>
      <c r="Q274" s="118">
        <f t="shared" si="7"/>
        <v>3.5849078514775225E-4</v>
      </c>
    </row>
    <row r="275" spans="1:17" ht="15" customHeight="1" x14ac:dyDescent="0.25">
      <c r="A275" s="114" t="s">
        <v>2286</v>
      </c>
      <c r="D275" s="122" t="s">
        <v>2278</v>
      </c>
      <c r="E275" s="122" t="s">
        <v>2164</v>
      </c>
      <c r="F275" s="122" t="s">
        <v>2299</v>
      </c>
      <c r="G275" s="136">
        <v>1085150</v>
      </c>
      <c r="H275" s="124">
        <v>1442.6278749999999</v>
      </c>
      <c r="I275" s="124">
        <v>1475.7</v>
      </c>
      <c r="J275" s="124">
        <v>2836.6851892499999</v>
      </c>
      <c r="K275" s="133">
        <f t="shared" si="5"/>
        <v>2.0418423159436695E-2</v>
      </c>
      <c r="L275" s="127"/>
      <c r="O275" s="118">
        <v>78427008907.389999</v>
      </c>
      <c r="P275" s="118">
        <f t="shared" si="6"/>
        <v>1601355855</v>
      </c>
      <c r="Q275" s="118">
        <f t="shared" si="7"/>
        <v>2.0418423159436695E-2</v>
      </c>
    </row>
    <row r="276" spans="1:17" ht="15" customHeight="1" x14ac:dyDescent="0.25">
      <c r="A276" s="114" t="s">
        <v>2286</v>
      </c>
      <c r="D276" s="122" t="s">
        <v>2278</v>
      </c>
      <c r="E276" s="122" t="s">
        <v>2189</v>
      </c>
      <c r="F276" s="122" t="s">
        <v>2299</v>
      </c>
      <c r="G276" s="136">
        <v>32000</v>
      </c>
      <c r="H276" s="124">
        <v>257.32</v>
      </c>
      <c r="I276" s="124">
        <v>252.1</v>
      </c>
      <c r="J276" s="124">
        <v>17.597919999999998</v>
      </c>
      <c r="K276" s="133">
        <f t="shared" si="5"/>
        <v>1.0286252290363512E-4</v>
      </c>
      <c r="L276" s="127"/>
      <c r="O276" s="118">
        <v>78427008907.389999</v>
      </c>
      <c r="P276" s="118">
        <f t="shared" si="6"/>
        <v>8067200</v>
      </c>
      <c r="Q276" s="118">
        <f t="shared" si="7"/>
        <v>1.0286252290363512E-4</v>
      </c>
    </row>
    <row r="277" spans="1:17" ht="15" customHeight="1" x14ac:dyDescent="0.25">
      <c r="A277" s="114" t="s">
        <v>2286</v>
      </c>
      <c r="D277" s="122" t="s">
        <v>2278</v>
      </c>
      <c r="E277" s="122" t="s">
        <v>1080</v>
      </c>
      <c r="F277" s="122" t="s">
        <v>2096</v>
      </c>
      <c r="G277" s="136">
        <v>87800</v>
      </c>
      <c r="H277" s="124">
        <v>17564.491110000003</v>
      </c>
      <c r="I277" s="124">
        <v>17544.45</v>
      </c>
      <c r="J277" s="124">
        <v>1780.7950019999998</v>
      </c>
      <c r="K277" s="133">
        <f t="shared" si="5"/>
        <v>1.9641227320284189E-2</v>
      </c>
      <c r="L277" s="127"/>
      <c r="O277" s="118">
        <v>78427008907.389999</v>
      </c>
      <c r="P277" s="118">
        <f t="shared" si="6"/>
        <v>1540402710</v>
      </c>
      <c r="Q277" s="118">
        <f t="shared" si="7"/>
        <v>1.9641227320284189E-2</v>
      </c>
    </row>
    <row r="278" spans="1:17" ht="15" customHeight="1" x14ac:dyDescent="0.25">
      <c r="A278" s="114" t="s">
        <v>2287</v>
      </c>
      <c r="D278" s="122" t="s">
        <v>2278</v>
      </c>
      <c r="E278" s="122" t="s">
        <v>1075</v>
      </c>
      <c r="F278" s="122" t="s">
        <v>2299</v>
      </c>
      <c r="G278" s="136">
        <v>23000</v>
      </c>
      <c r="H278" s="124">
        <v>35538.047915000003</v>
      </c>
      <c r="I278" s="124">
        <v>36553.949999999997</v>
      </c>
      <c r="J278" s="124">
        <v>1361.96317</v>
      </c>
      <c r="K278" s="133">
        <f t="shared" si="5"/>
        <v>1.0720042262389262E-2</v>
      </c>
      <c r="L278" s="127"/>
      <c r="O278" s="118">
        <v>78427008907.389999</v>
      </c>
      <c r="P278" s="118">
        <f t="shared" si="6"/>
        <v>840740849.99999988</v>
      </c>
      <c r="Q278" s="118">
        <f t="shared" si="7"/>
        <v>1.0720042262389262E-2</v>
      </c>
    </row>
    <row r="279" spans="1:17" ht="15" customHeight="1" x14ac:dyDescent="0.25">
      <c r="A279" s="114" t="s">
        <v>2287</v>
      </c>
      <c r="D279" s="122" t="s">
        <v>2278</v>
      </c>
      <c r="E279" s="122" t="s">
        <v>2226</v>
      </c>
      <c r="F279" s="122" t="s">
        <v>2299</v>
      </c>
      <c r="G279" s="136">
        <v>150</v>
      </c>
      <c r="H279" s="124">
        <v>4766.8</v>
      </c>
      <c r="I279" s="124">
        <v>4784.95</v>
      </c>
      <c r="J279" s="124">
        <v>1.7187498749999999</v>
      </c>
      <c r="K279" s="133">
        <f t="shared" si="5"/>
        <v>9.1517260443725632E-6</v>
      </c>
      <c r="L279" s="127"/>
      <c r="O279" s="118">
        <v>78427008907.389999</v>
      </c>
      <c r="P279" s="118">
        <f t="shared" si="6"/>
        <v>717742.5</v>
      </c>
      <c r="Q279" s="118">
        <f t="shared" si="7"/>
        <v>9.1517260443725632E-6</v>
      </c>
    </row>
    <row r="280" spans="1:17" ht="15" customHeight="1" x14ac:dyDescent="0.25">
      <c r="A280" s="114" t="s">
        <v>2287</v>
      </c>
      <c r="D280" s="122" t="s">
        <v>2278</v>
      </c>
      <c r="E280" s="122" t="s">
        <v>2268</v>
      </c>
      <c r="F280" s="122" t="s">
        <v>2299</v>
      </c>
      <c r="G280" s="136">
        <v>495600</v>
      </c>
      <c r="H280" s="124">
        <v>611.54335800000001</v>
      </c>
      <c r="I280" s="124">
        <v>628.70000000000005</v>
      </c>
      <c r="J280" s="124">
        <v>672.99754200000007</v>
      </c>
      <c r="K280" s="133">
        <f t="shared" si="5"/>
        <v>3.9729134687251878E-3</v>
      </c>
      <c r="L280" s="127"/>
      <c r="O280" s="118">
        <v>78427008907.389999</v>
      </c>
      <c r="P280" s="118">
        <f t="shared" si="6"/>
        <v>311583720</v>
      </c>
      <c r="Q280" s="118">
        <f t="shared" si="7"/>
        <v>3.9729134687251878E-3</v>
      </c>
    </row>
    <row r="281" spans="1:17" ht="15" customHeight="1" x14ac:dyDescent="0.25">
      <c r="A281" s="114" t="s">
        <v>2302</v>
      </c>
      <c r="D281" s="122" t="s">
        <v>2278</v>
      </c>
      <c r="E281" s="122" t="s">
        <v>2270</v>
      </c>
      <c r="F281" s="122" t="s">
        <v>2299</v>
      </c>
      <c r="G281" s="136">
        <v>16800</v>
      </c>
      <c r="H281" s="124">
        <v>1487.0655999999999</v>
      </c>
      <c r="I281" s="124">
        <v>1495.7</v>
      </c>
      <c r="J281" s="124">
        <v>55.940555999999994</v>
      </c>
      <c r="K281" s="133">
        <f t="shared" si="5"/>
        <v>3.2039676573247799E-4</v>
      </c>
      <c r="L281" s="127"/>
      <c r="O281" s="118">
        <v>78427008907.389999</v>
      </c>
      <c r="P281" s="118">
        <f t="shared" si="6"/>
        <v>25127760</v>
      </c>
      <c r="Q281" s="118">
        <f t="shared" si="7"/>
        <v>3.2039676573247799E-4</v>
      </c>
    </row>
    <row r="282" spans="1:17" ht="15" customHeight="1" x14ac:dyDescent="0.25">
      <c r="A282" s="114" t="s">
        <v>2302</v>
      </c>
      <c r="D282" s="122" t="s">
        <v>2278</v>
      </c>
      <c r="E282" s="122" t="s">
        <v>2303</v>
      </c>
      <c r="F282" s="122" t="s">
        <v>2299</v>
      </c>
      <c r="G282" s="136">
        <v>228500</v>
      </c>
      <c r="H282" s="124">
        <v>1238.668551</v>
      </c>
      <c r="I282" s="124">
        <v>1251.05</v>
      </c>
      <c r="J282" s="124">
        <v>576.29242375000001</v>
      </c>
      <c r="K282" s="133">
        <f t="shared" si="5"/>
        <v>3.6449805874601395E-3</v>
      </c>
      <c r="L282" s="127"/>
      <c r="O282" s="118">
        <v>78427008907.389999</v>
      </c>
      <c r="P282" s="118">
        <f t="shared" si="6"/>
        <v>285864925</v>
      </c>
      <c r="Q282" s="118">
        <f t="shared" si="7"/>
        <v>3.6449805874601395E-3</v>
      </c>
    </row>
    <row r="283" spans="1:17" ht="15" customHeight="1" x14ac:dyDescent="0.25">
      <c r="A283" s="114" t="s">
        <v>2304</v>
      </c>
      <c r="D283" s="122" t="s">
        <v>2279</v>
      </c>
      <c r="E283" s="122" t="s">
        <v>2301</v>
      </c>
      <c r="F283" s="122" t="s">
        <v>2299</v>
      </c>
      <c r="G283" s="136">
        <v>6650</v>
      </c>
      <c r="H283" s="124">
        <v>1546.097301</v>
      </c>
      <c r="I283" s="124">
        <v>1544.8</v>
      </c>
      <c r="J283" s="124">
        <v>18.226852000000001</v>
      </c>
      <c r="K283" s="133">
        <f t="shared" si="5"/>
        <v>3.1961031422282245E-3</v>
      </c>
      <c r="L283" s="127"/>
      <c r="O283" s="118">
        <v>3214201652.0900002</v>
      </c>
      <c r="P283" s="118">
        <f t="shared" si="6"/>
        <v>10272920</v>
      </c>
      <c r="Q283" s="118">
        <f t="shared" si="7"/>
        <v>3.1961031422282245E-3</v>
      </c>
    </row>
    <row r="284" spans="1:17" ht="15" customHeight="1" x14ac:dyDescent="0.25">
      <c r="A284" s="114" t="s">
        <v>2304</v>
      </c>
      <c r="D284" s="122" t="s">
        <v>2279</v>
      </c>
      <c r="E284" s="122" t="s">
        <v>2164</v>
      </c>
      <c r="F284" s="122" t="s">
        <v>2299</v>
      </c>
      <c r="G284" s="136">
        <v>40700</v>
      </c>
      <c r="H284" s="124">
        <v>1460.8789999999999</v>
      </c>
      <c r="I284" s="124">
        <v>1475.7</v>
      </c>
      <c r="J284" s="124">
        <v>106.39366650000001</v>
      </c>
      <c r="K284" s="133">
        <f t="shared" si="5"/>
        <v>1.8686130025770468E-2</v>
      </c>
      <c r="L284" s="127"/>
      <c r="O284" s="118">
        <v>3214201652.0900002</v>
      </c>
      <c r="P284" s="118">
        <f t="shared" si="6"/>
        <v>60060990</v>
      </c>
      <c r="Q284" s="118">
        <f t="shared" si="7"/>
        <v>1.8686130025770468E-2</v>
      </c>
    </row>
    <row r="285" spans="1:17" ht="15" customHeight="1" x14ac:dyDescent="0.25">
      <c r="A285" s="114"/>
      <c r="D285" s="122" t="s">
        <v>2305</v>
      </c>
      <c r="E285" s="122" t="s">
        <v>2164</v>
      </c>
      <c r="F285" s="122" t="s">
        <v>2299</v>
      </c>
      <c r="G285" s="136">
        <v>89650</v>
      </c>
      <c r="H285" s="124">
        <v>1460.9404</v>
      </c>
      <c r="I285" s="124">
        <v>1475.7</v>
      </c>
      <c r="J285" s="124">
        <v>234.35361675000001</v>
      </c>
      <c r="K285" s="133">
        <f t="shared" si="5"/>
        <v>4.0474046472708275E-2</v>
      </c>
      <c r="L285" s="127"/>
      <c r="O285" s="118">
        <v>3268675028.3100004</v>
      </c>
      <c r="P285" s="118">
        <f t="shared" si="6"/>
        <v>132296505</v>
      </c>
      <c r="Q285" s="118">
        <f t="shared" si="7"/>
        <v>4.0474046472708275E-2</v>
      </c>
    </row>
    <row r="286" spans="1:17" ht="15" customHeight="1" x14ac:dyDescent="0.25">
      <c r="A286" s="114"/>
      <c r="D286" s="122" t="s">
        <v>2305</v>
      </c>
      <c r="E286" s="122" t="s">
        <v>1080</v>
      </c>
      <c r="F286" s="122" t="s">
        <v>2299</v>
      </c>
      <c r="G286" s="136">
        <v>3150</v>
      </c>
      <c r="H286" s="124">
        <v>17305.288902</v>
      </c>
      <c r="I286" s="124">
        <v>17544.45</v>
      </c>
      <c r="J286" s="124">
        <v>68.507743499999989</v>
      </c>
      <c r="K286" s="133">
        <f t="shared" si="5"/>
        <v>1.6907467711335503E-2</v>
      </c>
      <c r="L286" s="127"/>
      <c r="O286" s="118">
        <v>3268675028.3100004</v>
      </c>
      <c r="P286" s="118">
        <f t="shared" si="6"/>
        <v>55265017.5</v>
      </c>
      <c r="Q286" s="118">
        <f t="shared" si="7"/>
        <v>1.6907467711335503E-2</v>
      </c>
    </row>
    <row r="287" spans="1:17" ht="15" customHeight="1" x14ac:dyDescent="0.25">
      <c r="A287" s="114"/>
      <c r="D287" s="122" t="s">
        <v>2305</v>
      </c>
      <c r="E287" s="122" t="s">
        <v>1075</v>
      </c>
      <c r="F287" s="122" t="s">
        <v>2299</v>
      </c>
      <c r="G287" s="136">
        <v>1650</v>
      </c>
      <c r="H287" s="124">
        <v>35379.102200000001</v>
      </c>
      <c r="I287" s="124">
        <v>36553.949999999997</v>
      </c>
      <c r="J287" s="124">
        <v>97.706053499999996</v>
      </c>
      <c r="K287" s="133">
        <f t="shared" si="5"/>
        <v>1.8452130290597925E-2</v>
      </c>
      <c r="L287" s="127"/>
      <c r="O287" s="118">
        <v>3268675028.3100004</v>
      </c>
      <c r="P287" s="118">
        <f t="shared" si="6"/>
        <v>60314017.499999993</v>
      </c>
      <c r="Q287" s="118">
        <f t="shared" si="7"/>
        <v>1.8452130290597925E-2</v>
      </c>
    </row>
    <row r="288" spans="1:17" ht="15" customHeight="1" x14ac:dyDescent="0.25">
      <c r="A288" s="114"/>
      <c r="D288" s="122" t="s">
        <v>2305</v>
      </c>
      <c r="E288" s="122" t="s">
        <v>2256</v>
      </c>
      <c r="F288" s="122" t="s">
        <v>2299</v>
      </c>
      <c r="G288" s="136">
        <v>59850</v>
      </c>
      <c r="H288" s="124">
        <v>437.98329999999999</v>
      </c>
      <c r="I288" s="124">
        <v>436.2</v>
      </c>
      <c r="J288" s="124">
        <v>78.473529499999998</v>
      </c>
      <c r="K288" s="133">
        <f t="shared" si="5"/>
        <v>7.9868967621103196E-3</v>
      </c>
      <c r="L288" s="127"/>
      <c r="O288" s="118">
        <v>3268675028.3100004</v>
      </c>
      <c r="P288" s="118">
        <f t="shared" si="6"/>
        <v>26106570</v>
      </c>
      <c r="Q288" s="118">
        <f t="shared" si="7"/>
        <v>7.9868967621103196E-3</v>
      </c>
    </row>
    <row r="289" spans="1:17" ht="15" customHeight="1" x14ac:dyDescent="0.25">
      <c r="A289" s="114"/>
      <c r="D289" s="122" t="s">
        <v>2305</v>
      </c>
      <c r="E289" s="122" t="s">
        <v>2268</v>
      </c>
      <c r="F289" s="122" t="s">
        <v>2299</v>
      </c>
      <c r="G289" s="136">
        <v>21000</v>
      </c>
      <c r="H289" s="124">
        <v>607.65</v>
      </c>
      <c r="I289" s="124">
        <v>628.70000000000005</v>
      </c>
      <c r="J289" s="124">
        <v>28.516845</v>
      </c>
      <c r="K289" s="133">
        <f t="shared" si="5"/>
        <v>4.0391595633250147E-3</v>
      </c>
      <c r="L289" s="127"/>
      <c r="O289" s="118">
        <v>3268675028.3100004</v>
      </c>
      <c r="P289" s="118">
        <f t="shared" si="6"/>
        <v>13202700.000000002</v>
      </c>
      <c r="Q289" s="118">
        <f t="shared" si="7"/>
        <v>4.0391595633250147E-3</v>
      </c>
    </row>
    <row r="290" spans="1:17" ht="15" customHeight="1" x14ac:dyDescent="0.25">
      <c r="A290" s="114"/>
      <c r="D290" s="122" t="s">
        <v>2306</v>
      </c>
      <c r="E290" s="122" t="s">
        <v>2307</v>
      </c>
      <c r="F290" s="122" t="s">
        <v>2299</v>
      </c>
      <c r="G290" s="136">
        <v>31375</v>
      </c>
      <c r="H290" s="124">
        <v>4191.2611550000001</v>
      </c>
      <c r="I290" s="124">
        <v>4312.95</v>
      </c>
      <c r="J290" s="124">
        <v>347.14343218750003</v>
      </c>
      <c r="K290" s="133">
        <f t="shared" si="5"/>
        <v>1.3071424338725374E-2</v>
      </c>
      <c r="L290" s="127"/>
      <c r="O290" s="118">
        <v>10352261753.84</v>
      </c>
      <c r="P290" s="118">
        <f t="shared" si="6"/>
        <v>135318806.25</v>
      </c>
      <c r="Q290" s="118">
        <f t="shared" si="7"/>
        <v>1.3071424338725374E-2</v>
      </c>
    </row>
    <row r="291" spans="1:17" ht="15" customHeight="1" x14ac:dyDescent="0.25">
      <c r="A291" s="114"/>
      <c r="D291" s="122" t="s">
        <v>2306</v>
      </c>
      <c r="E291" s="122" t="s">
        <v>2308</v>
      </c>
      <c r="F291" s="122" t="s">
        <v>2299</v>
      </c>
      <c r="G291" s="136">
        <v>39400</v>
      </c>
      <c r="H291" s="124">
        <v>2062.5680189999998</v>
      </c>
      <c r="I291" s="124">
        <v>2153.9499999999998</v>
      </c>
      <c r="J291" s="124">
        <v>167.07107050000002</v>
      </c>
      <c r="K291" s="133">
        <f t="shared" si="5"/>
        <v>8.1977863406052787E-3</v>
      </c>
      <c r="L291" s="127"/>
      <c r="O291" s="118">
        <v>10352261753.84</v>
      </c>
      <c r="P291" s="118">
        <f t="shared" si="6"/>
        <v>84865630</v>
      </c>
      <c r="Q291" s="118">
        <f t="shared" si="7"/>
        <v>8.1977863406052787E-3</v>
      </c>
    </row>
    <row r="292" spans="1:17" ht="15" customHeight="1" x14ac:dyDescent="0.25">
      <c r="A292" s="114"/>
      <c r="D292" s="122" t="s">
        <v>2306</v>
      </c>
      <c r="E292" s="122" t="s">
        <v>2208</v>
      </c>
      <c r="F292" s="122" t="s">
        <v>2299</v>
      </c>
      <c r="G292" s="136">
        <v>2200</v>
      </c>
      <c r="H292" s="124">
        <v>2053.1545000000001</v>
      </c>
      <c r="I292" s="124">
        <v>2040.15</v>
      </c>
      <c r="J292" s="124">
        <v>12.0077155</v>
      </c>
      <c r="K292" s="133">
        <f t="shared" si="5"/>
        <v>4.3356032785155655E-4</v>
      </c>
      <c r="L292" s="127"/>
      <c r="O292" s="118">
        <v>10352261753.84</v>
      </c>
      <c r="P292" s="118">
        <f t="shared" si="6"/>
        <v>4488330</v>
      </c>
      <c r="Q292" s="118">
        <f t="shared" si="7"/>
        <v>4.3356032785155655E-4</v>
      </c>
    </row>
    <row r="293" spans="1:17" ht="15" customHeight="1" x14ac:dyDescent="0.25">
      <c r="A293" s="114"/>
      <c r="D293" s="122" t="s">
        <v>2306</v>
      </c>
      <c r="E293" s="122" t="s">
        <v>1080</v>
      </c>
      <c r="F293" s="122" t="s">
        <v>2299</v>
      </c>
      <c r="G293" s="136">
        <v>7950</v>
      </c>
      <c r="H293" s="124">
        <v>17314.8066</v>
      </c>
      <c r="I293" s="124">
        <v>17544.45</v>
      </c>
      <c r="J293" s="124">
        <v>172.90049550000001</v>
      </c>
      <c r="K293" s="133">
        <f t="shared" si="5"/>
        <v>1.3473227475943874E-2</v>
      </c>
      <c r="L293" s="127"/>
      <c r="O293" s="118">
        <v>10352261753.84</v>
      </c>
      <c r="P293" s="118">
        <f t="shared" si="6"/>
        <v>139478377.5</v>
      </c>
      <c r="Q293" s="118">
        <f t="shared" si="7"/>
        <v>1.3473227475943874E-2</v>
      </c>
    </row>
    <row r="294" spans="1:17" ht="15" customHeight="1" x14ac:dyDescent="0.25">
      <c r="A294" s="114"/>
      <c r="D294" s="122" t="s">
        <v>2306</v>
      </c>
      <c r="E294" s="122" t="s">
        <v>2231</v>
      </c>
      <c r="F294" s="122" t="s">
        <v>2299</v>
      </c>
      <c r="G294" s="136">
        <v>111300</v>
      </c>
      <c r="H294" s="124">
        <v>2370.2432439999998</v>
      </c>
      <c r="I294" s="124">
        <v>2378.1999999999998</v>
      </c>
      <c r="J294" s="124">
        <v>587.13755100000003</v>
      </c>
      <c r="K294" s="133">
        <f t="shared" si="5"/>
        <v>2.5568679221409391E-2</v>
      </c>
      <c r="L294" s="127"/>
      <c r="O294" s="118">
        <v>10352261753.84</v>
      </c>
      <c r="P294" s="118">
        <f t="shared" si="6"/>
        <v>264693659.99999997</v>
      </c>
      <c r="Q294" s="118">
        <f t="shared" si="7"/>
        <v>2.5568679221409391E-2</v>
      </c>
    </row>
    <row r="296" spans="1:17" ht="15" customHeight="1" x14ac:dyDescent="0.25">
      <c r="C296" s="116" t="s">
        <v>2309</v>
      </c>
      <c r="D296" s="117" t="s">
        <v>2310</v>
      </c>
    </row>
    <row r="297" spans="1:17" ht="25.5" x14ac:dyDescent="0.25">
      <c r="D297" s="119" t="s">
        <v>2088</v>
      </c>
      <c r="E297" s="119" t="s">
        <v>2290</v>
      </c>
      <c r="F297" s="135" t="s">
        <v>2291</v>
      </c>
      <c r="G297" s="135" t="s">
        <v>2292</v>
      </c>
      <c r="H297" s="135" t="s">
        <v>2293</v>
      </c>
      <c r="I297" s="135" t="s">
        <v>2294</v>
      </c>
    </row>
    <row r="298" spans="1:17" ht="15" customHeight="1" x14ac:dyDescent="0.25">
      <c r="D298" s="122" t="s">
        <v>2278</v>
      </c>
      <c r="E298" s="136">
        <v>57073</v>
      </c>
      <c r="F298" s="136">
        <v>55064</v>
      </c>
      <c r="G298" s="136">
        <v>46536102179.679306</v>
      </c>
      <c r="H298" s="136">
        <v>45438170633.98349</v>
      </c>
      <c r="I298" s="136">
        <v>-139068085.76999959</v>
      </c>
      <c r="J298" s="131"/>
    </row>
    <row r="299" spans="1:17" ht="15" customHeight="1" x14ac:dyDescent="0.25">
      <c r="D299" s="122" t="s">
        <v>2305</v>
      </c>
      <c r="E299" s="136">
        <v>1904</v>
      </c>
      <c r="F299" s="136">
        <v>1991</v>
      </c>
      <c r="G299" s="136">
        <v>1633908747.7389002</v>
      </c>
      <c r="H299" s="136">
        <v>1702753289.1974995</v>
      </c>
      <c r="I299" s="136">
        <v>-8951851.9699999969</v>
      </c>
    </row>
    <row r="300" spans="1:17" ht="15" customHeight="1" x14ac:dyDescent="0.25">
      <c r="D300" s="122" t="s">
        <v>2279</v>
      </c>
      <c r="E300" s="136">
        <v>2003</v>
      </c>
      <c r="F300" s="136">
        <v>1983</v>
      </c>
      <c r="G300" s="136">
        <v>1678041519.4075</v>
      </c>
      <c r="H300" s="136">
        <v>1666491828.1600003</v>
      </c>
      <c r="I300" s="136">
        <v>9993577.981250003</v>
      </c>
    </row>
    <row r="301" spans="1:17" ht="15" customHeight="1" x14ac:dyDescent="0.25">
      <c r="D301" s="122" t="s">
        <v>2306</v>
      </c>
      <c r="E301" s="136">
        <v>12378</v>
      </c>
      <c r="F301" s="136">
        <v>13137</v>
      </c>
      <c r="G301" s="136">
        <v>7172466889.522501</v>
      </c>
      <c r="H301" s="136">
        <v>7447976266.8274965</v>
      </c>
      <c r="I301" s="136">
        <v>-241024128.75999999</v>
      </c>
    </row>
    <row r="302" spans="1:17" ht="15" customHeight="1" x14ac:dyDescent="0.25">
      <c r="D302" s="122" t="s">
        <v>2094</v>
      </c>
      <c r="E302" s="136">
        <v>579</v>
      </c>
      <c r="F302" s="136">
        <v>631</v>
      </c>
      <c r="G302" s="136">
        <v>476482240.22499996</v>
      </c>
      <c r="H302" s="136">
        <v>521243549.11500001</v>
      </c>
      <c r="I302" s="136">
        <v>-2148433.4594999994</v>
      </c>
    </row>
    <row r="304" spans="1:17" ht="15" customHeight="1" x14ac:dyDescent="0.25">
      <c r="C304" s="116" t="s">
        <v>2311</v>
      </c>
      <c r="D304" s="117" t="s">
        <v>2312</v>
      </c>
    </row>
    <row r="306" spans="1:17" ht="15" customHeight="1" x14ac:dyDescent="0.25">
      <c r="C306" s="116" t="s">
        <v>2313</v>
      </c>
      <c r="D306" s="117" t="s">
        <v>2314</v>
      </c>
    </row>
    <row r="308" spans="1:17" ht="15" customHeight="1" x14ac:dyDescent="0.25">
      <c r="C308" s="116" t="s">
        <v>2315</v>
      </c>
      <c r="D308" s="117" t="s">
        <v>2316</v>
      </c>
    </row>
    <row r="309" spans="1:17" ht="25.5" x14ac:dyDescent="0.25">
      <c r="D309" s="119" t="s">
        <v>2088</v>
      </c>
      <c r="E309" s="119" t="s">
        <v>2089</v>
      </c>
      <c r="F309" s="119" t="s">
        <v>2317</v>
      </c>
      <c r="G309" s="119" t="s">
        <v>2318</v>
      </c>
      <c r="H309" s="119" t="s">
        <v>2319</v>
      </c>
      <c r="I309" s="119" t="s">
        <v>2320</v>
      </c>
      <c r="J309" s="135" t="s">
        <v>2321</v>
      </c>
    </row>
    <row r="310" spans="1:17" ht="15" customHeight="1" x14ac:dyDescent="0.25">
      <c r="A310" s="114" t="s">
        <v>2286</v>
      </c>
      <c r="D310" s="122" t="s">
        <v>2279</v>
      </c>
      <c r="E310" s="122" t="s">
        <v>1083</v>
      </c>
      <c r="F310" s="122" t="s">
        <v>2322</v>
      </c>
      <c r="G310" s="136">
        <v>292</v>
      </c>
      <c r="H310" s="124">
        <v>1177.0901699999999</v>
      </c>
      <c r="I310" s="124">
        <v>1013.2</v>
      </c>
      <c r="J310" s="133">
        <f t="shared" ref="J310:J315" si="8">+Q310</f>
        <v>4.6022999180468952E-3</v>
      </c>
      <c r="O310" s="118">
        <v>3214201652.0900002</v>
      </c>
      <c r="P310" s="118">
        <f t="shared" ref="P310:P315" si="9">G310*I310*50</f>
        <v>14792720.000000002</v>
      </c>
      <c r="Q310" s="118">
        <f t="shared" ref="Q310:Q315" si="10">P310/O310</f>
        <v>4.6022999180468952E-3</v>
      </c>
    </row>
    <row r="311" spans="1:17" ht="15" customHeight="1" x14ac:dyDescent="0.25">
      <c r="A311"/>
      <c r="D311" s="122" t="s">
        <v>2279</v>
      </c>
      <c r="E311" s="122" t="s">
        <v>1082</v>
      </c>
      <c r="F311" s="122" t="s">
        <v>2322</v>
      </c>
      <c r="G311" s="136">
        <v>70</v>
      </c>
      <c r="H311" s="124">
        <v>890.00514599999997</v>
      </c>
      <c r="I311" s="124">
        <v>631.29999999999995</v>
      </c>
      <c r="J311" s="133">
        <f t="shared" si="8"/>
        <v>6.8743353378692459E-4</v>
      </c>
      <c r="O311" s="118">
        <v>3214201652.0900002</v>
      </c>
      <c r="P311" s="118">
        <f t="shared" si="9"/>
        <v>2209550</v>
      </c>
      <c r="Q311" s="118">
        <f t="shared" si="10"/>
        <v>6.8743353378692459E-4</v>
      </c>
    </row>
    <row r="312" spans="1:17" ht="15" customHeight="1" x14ac:dyDescent="0.25">
      <c r="A312"/>
      <c r="D312" s="122" t="s">
        <v>2278</v>
      </c>
      <c r="E312" s="122" t="s">
        <v>1084</v>
      </c>
      <c r="F312" s="122" t="s">
        <v>2322</v>
      </c>
      <c r="G312" s="136">
        <v>1700</v>
      </c>
      <c r="H312" s="124">
        <v>1466.2592</v>
      </c>
      <c r="I312" s="124">
        <v>1465.35</v>
      </c>
      <c r="J312" s="133">
        <f t="shared" si="8"/>
        <v>1.5881614221330261E-3</v>
      </c>
      <c r="O312" s="118">
        <v>78427008907.389999</v>
      </c>
      <c r="P312" s="118">
        <f t="shared" si="9"/>
        <v>124554750</v>
      </c>
      <c r="Q312" s="118">
        <f t="shared" si="10"/>
        <v>1.5881614221330261E-3</v>
      </c>
    </row>
    <row r="313" spans="1:17" ht="15" customHeight="1" x14ac:dyDescent="0.25">
      <c r="A313"/>
      <c r="D313" s="122" t="s">
        <v>2278</v>
      </c>
      <c r="E313" s="122" t="s">
        <v>1083</v>
      </c>
      <c r="F313" s="122" t="s">
        <v>2322</v>
      </c>
      <c r="G313" s="136">
        <v>5200</v>
      </c>
      <c r="H313" s="124">
        <v>1164.652548</v>
      </c>
      <c r="I313" s="124">
        <v>1013.2</v>
      </c>
      <c r="J313" s="133">
        <f t="shared" si="8"/>
        <v>3.3589448797042851E-3</v>
      </c>
      <c r="O313" s="118">
        <v>78427008907.389999</v>
      </c>
      <c r="P313" s="118">
        <f t="shared" si="9"/>
        <v>263432000</v>
      </c>
      <c r="Q313" s="118">
        <f t="shared" si="10"/>
        <v>3.3589448797042851E-3</v>
      </c>
    </row>
    <row r="314" spans="1:17" ht="15" customHeight="1" x14ac:dyDescent="0.25">
      <c r="A314"/>
      <c r="D314" s="122" t="s">
        <v>2278</v>
      </c>
      <c r="E314" s="122" t="s">
        <v>1082</v>
      </c>
      <c r="F314" s="122" t="s">
        <v>2322</v>
      </c>
      <c r="G314" s="136">
        <v>9500</v>
      </c>
      <c r="H314" s="124">
        <v>819.882113</v>
      </c>
      <c r="I314" s="124">
        <v>631.29999999999995</v>
      </c>
      <c r="J314" s="133">
        <f t="shared" si="8"/>
        <v>3.8235233521923106E-3</v>
      </c>
      <c r="O314" s="118">
        <v>78427008907.389999</v>
      </c>
      <c r="P314" s="118">
        <f t="shared" si="9"/>
        <v>299867500</v>
      </c>
      <c r="Q314" s="118">
        <f t="shared" si="10"/>
        <v>3.8235233521923106E-3</v>
      </c>
    </row>
    <row r="315" spans="1:17" ht="15" customHeight="1" x14ac:dyDescent="0.25">
      <c r="A315"/>
      <c r="D315" s="122" t="s">
        <v>2094</v>
      </c>
      <c r="E315" s="122" t="s">
        <v>1386</v>
      </c>
      <c r="F315" s="122" t="s">
        <v>2323</v>
      </c>
      <c r="G315" s="136">
        <v>120</v>
      </c>
      <c r="H315" s="124">
        <v>2091.6495</v>
      </c>
      <c r="I315" s="124">
        <v>2051.65</v>
      </c>
      <c r="J315" s="133">
        <f t="shared" si="8"/>
        <v>6.5364331626902956E-3</v>
      </c>
      <c r="O315" s="118">
        <v>1883274821.8500001</v>
      </c>
      <c r="P315" s="118">
        <f t="shared" si="9"/>
        <v>12309900</v>
      </c>
      <c r="Q315" s="118">
        <f t="shared" si="10"/>
        <v>6.5364331626902956E-3</v>
      </c>
    </row>
    <row r="316" spans="1:17" ht="15" customHeight="1" x14ac:dyDescent="0.25">
      <c r="A316"/>
      <c r="G316" s="131"/>
      <c r="H316" s="127"/>
      <c r="I316" s="127"/>
      <c r="J316" s="134"/>
    </row>
    <row r="318" spans="1:17" ht="15" customHeight="1" x14ac:dyDescent="0.25">
      <c r="C318" s="116" t="s">
        <v>2324</v>
      </c>
      <c r="D318" s="117" t="s">
        <v>2325</v>
      </c>
    </row>
    <row r="319" spans="1:17" ht="25.5" x14ac:dyDescent="0.25">
      <c r="D319" s="119" t="s">
        <v>2088</v>
      </c>
      <c r="E319" s="119" t="s">
        <v>2089</v>
      </c>
      <c r="F319" s="119" t="s">
        <v>2317</v>
      </c>
      <c r="G319" s="135" t="s">
        <v>2326</v>
      </c>
      <c r="H319" s="135" t="s">
        <v>2327</v>
      </c>
      <c r="I319" s="135" t="s">
        <v>2328</v>
      </c>
    </row>
    <row r="320" spans="1:17" ht="15" customHeight="1" x14ac:dyDescent="0.25">
      <c r="D320" s="122" t="s">
        <v>2279</v>
      </c>
      <c r="E320" s="122" t="s">
        <v>777</v>
      </c>
      <c r="F320" s="122" t="s">
        <v>2329</v>
      </c>
      <c r="G320" s="136">
        <v>16</v>
      </c>
      <c r="H320" s="136">
        <v>52000</v>
      </c>
      <c r="I320" s="136">
        <v>51914</v>
      </c>
    </row>
    <row r="321" spans="3:9" ht="15" customHeight="1" x14ac:dyDescent="0.25">
      <c r="D321" s="122" t="s">
        <v>2279</v>
      </c>
      <c r="E321" s="122" t="s">
        <v>483</v>
      </c>
      <c r="F321" s="122" t="s">
        <v>2329</v>
      </c>
      <c r="G321" s="136">
        <v>30</v>
      </c>
      <c r="H321" s="136">
        <v>73409.94</v>
      </c>
      <c r="I321" s="136">
        <v>73102.94</v>
      </c>
    </row>
    <row r="322" spans="3:9" ht="15" customHeight="1" x14ac:dyDescent="0.25">
      <c r="D322" s="122" t="s">
        <v>2279</v>
      </c>
      <c r="E322" s="122" t="s">
        <v>622</v>
      </c>
      <c r="F322" s="122" t="s">
        <v>2329</v>
      </c>
      <c r="G322" s="136">
        <v>38</v>
      </c>
      <c r="H322" s="136">
        <v>137292.1</v>
      </c>
      <c r="I322" s="136">
        <v>136938.1</v>
      </c>
    </row>
    <row r="323" spans="3:9" ht="15" customHeight="1" x14ac:dyDescent="0.25">
      <c r="D323" s="122" t="s">
        <v>2279</v>
      </c>
      <c r="E323" s="122" t="s">
        <v>472</v>
      </c>
      <c r="F323" s="122" t="s">
        <v>2329</v>
      </c>
      <c r="G323" s="136">
        <v>164</v>
      </c>
      <c r="H323" s="136">
        <v>322290</v>
      </c>
      <c r="I323" s="136">
        <v>318633</v>
      </c>
    </row>
    <row r="324" spans="3:9" ht="15" customHeight="1" x14ac:dyDescent="0.25">
      <c r="D324" s="122" t="s">
        <v>2279</v>
      </c>
      <c r="E324" s="122" t="s">
        <v>463</v>
      </c>
      <c r="F324" s="122" t="s">
        <v>2329</v>
      </c>
      <c r="G324" s="136">
        <v>28</v>
      </c>
      <c r="H324" s="136">
        <v>78659.839999999997</v>
      </c>
      <c r="I324" s="136">
        <v>78370.84</v>
      </c>
    </row>
    <row r="325" spans="3:9" ht="15" customHeight="1" x14ac:dyDescent="0.25">
      <c r="D325" s="122" t="s">
        <v>2279</v>
      </c>
      <c r="E325" s="122" t="s">
        <v>582</v>
      </c>
      <c r="F325" s="122" t="s">
        <v>2329</v>
      </c>
      <c r="G325" s="136">
        <v>40</v>
      </c>
      <c r="H325" s="136">
        <v>633575</v>
      </c>
      <c r="I325" s="136">
        <v>-167192</v>
      </c>
    </row>
    <row r="326" spans="3:9" ht="15" customHeight="1" x14ac:dyDescent="0.25">
      <c r="D326" s="122" t="s">
        <v>2279</v>
      </c>
      <c r="E326" s="122" t="s">
        <v>537</v>
      </c>
      <c r="F326" s="122" t="s">
        <v>2329</v>
      </c>
      <c r="G326" s="136">
        <v>120</v>
      </c>
      <c r="H326" s="136">
        <v>412800</v>
      </c>
      <c r="I326" s="136">
        <v>332513</v>
      </c>
    </row>
    <row r="327" spans="3:9" ht="15" customHeight="1" x14ac:dyDescent="0.25">
      <c r="D327" s="122" t="s">
        <v>2279</v>
      </c>
      <c r="E327" s="122" t="s">
        <v>724</v>
      </c>
      <c r="F327" s="122" t="s">
        <v>2329</v>
      </c>
      <c r="G327" s="136">
        <v>12</v>
      </c>
      <c r="H327" s="136">
        <v>27790</v>
      </c>
      <c r="I327" s="136">
        <v>27674</v>
      </c>
    </row>
    <row r="328" spans="3:9" ht="15" customHeight="1" x14ac:dyDescent="0.25">
      <c r="D328" s="122" t="s">
        <v>2279</v>
      </c>
      <c r="E328" s="122" t="s">
        <v>584</v>
      </c>
      <c r="F328" s="122" t="s">
        <v>2329</v>
      </c>
      <c r="G328" s="136">
        <v>76</v>
      </c>
      <c r="H328" s="136">
        <v>140497.41</v>
      </c>
      <c r="I328" s="136">
        <v>139757.41</v>
      </c>
    </row>
    <row r="329" spans="3:9" ht="15" customHeight="1" x14ac:dyDescent="0.25">
      <c r="D329" s="122" t="s">
        <v>2278</v>
      </c>
      <c r="E329" s="122" t="s">
        <v>2330</v>
      </c>
      <c r="F329" s="122" t="s">
        <v>2331</v>
      </c>
      <c r="G329" s="136">
        <v>243922</v>
      </c>
      <c r="H329" s="136">
        <v>9052000704.0050011</v>
      </c>
      <c r="I329" s="136">
        <v>-891938980.66000009</v>
      </c>
    </row>
    <row r="330" spans="3:9" ht="15" customHeight="1" x14ac:dyDescent="0.25">
      <c r="D330" s="122" t="s">
        <v>2094</v>
      </c>
      <c r="E330" s="122" t="s">
        <v>2330</v>
      </c>
      <c r="F330" s="122" t="s">
        <v>2331</v>
      </c>
      <c r="G330" s="136">
        <v>240</v>
      </c>
      <c r="H330" s="136">
        <v>20075452.199999999</v>
      </c>
      <c r="I330" s="136">
        <v>4134764.6</v>
      </c>
    </row>
    <row r="331" spans="3:9" ht="15" customHeight="1" x14ac:dyDescent="0.25">
      <c r="D331" s="122" t="s">
        <v>2279</v>
      </c>
      <c r="E331" s="122" t="s">
        <v>2330</v>
      </c>
      <c r="F331" s="122" t="s">
        <v>2331</v>
      </c>
      <c r="G331" s="136">
        <v>7620</v>
      </c>
      <c r="H331" s="136">
        <v>287086701.58999997</v>
      </c>
      <c r="I331" s="136">
        <v>-30603807.149999999</v>
      </c>
    </row>
    <row r="332" spans="3:9" ht="15" customHeight="1" x14ac:dyDescent="0.25">
      <c r="G332" s="131"/>
      <c r="H332" s="131"/>
      <c r="I332" s="131"/>
    </row>
    <row r="333" spans="3:9" ht="15" customHeight="1" x14ac:dyDescent="0.25">
      <c r="D333" s="118" t="s">
        <v>2332</v>
      </c>
    </row>
    <row r="335" spans="3:9" ht="15" customHeight="1" x14ac:dyDescent="0.25">
      <c r="C335" s="116" t="s">
        <v>2333</v>
      </c>
      <c r="D335" s="117" t="s">
        <v>2334</v>
      </c>
    </row>
    <row r="337" spans="3:12" ht="15" customHeight="1" x14ac:dyDescent="0.25">
      <c r="D337" s="118" t="s">
        <v>2335</v>
      </c>
    </row>
    <row r="339" spans="3:12" ht="15" customHeight="1" x14ac:dyDescent="0.25">
      <c r="C339" s="116" t="s">
        <v>2336</v>
      </c>
      <c r="D339" s="117" t="s">
        <v>2337</v>
      </c>
    </row>
    <row r="340" spans="3:12" ht="15" customHeight="1" x14ac:dyDescent="0.25">
      <c r="L340" s="118" t="s">
        <v>2338</v>
      </c>
    </row>
  </sheetData>
  <mergeCells count="1">
    <mergeCell ref="J72:J73"/>
  </mergeCells>
  <pageMargins left="0.7" right="0.7" top="0.75" bottom="0.75" header="0.3" footer="0.3"/>
  <pageSetup scale="22" orientation="portrait" r:id="rId1"/>
  <headerFooter>
    <oddHeader>&amp;L&amp;"Arial"&amp;9&amp;K0078D7INTERNAL&amp;1#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1</vt:i4>
      </vt:variant>
    </vt:vector>
  </HeadingPairs>
  <TitlesOfParts>
    <vt:vector size="44" baseType="lpstr">
      <vt:lpstr>Index</vt:lpstr>
      <vt:lpstr>EDACBF</vt:lpstr>
      <vt:lpstr>EDBE23</vt:lpstr>
      <vt:lpstr>EDBE25</vt:lpstr>
      <vt:lpstr>EDBE30</vt:lpstr>
      <vt:lpstr>EDBE31</vt:lpstr>
      <vt:lpstr>EDBE32</vt:lpstr>
      <vt:lpstr>EDBPDF</vt:lpstr>
      <vt:lpstr>EDCPSF</vt:lpstr>
      <vt:lpstr>EDFF23</vt:lpstr>
      <vt:lpstr>EDFF25</vt:lpstr>
      <vt:lpstr>EDFF30</vt:lpstr>
      <vt:lpstr>EDFF31</vt:lpstr>
      <vt:lpstr>EDFF32</vt:lpstr>
      <vt:lpstr>EDGSEC</vt:lpstr>
      <vt:lpstr>EDNP27</vt:lpstr>
      <vt:lpstr>EDNPSF</vt:lpstr>
      <vt:lpstr>EDONTF</vt:lpstr>
      <vt:lpstr>EEARBF</vt:lpstr>
      <vt:lpstr>EEARFD</vt:lpstr>
      <vt:lpstr>EEDGEF</vt:lpstr>
      <vt:lpstr>EEELSS</vt:lpstr>
      <vt:lpstr>EEECRF</vt:lpstr>
      <vt:lpstr>EEEQTF</vt:lpstr>
      <vt:lpstr>EEESCF</vt:lpstr>
      <vt:lpstr>EEESSF</vt:lpstr>
      <vt:lpstr>EEIF30</vt:lpstr>
      <vt:lpstr>EEIF50</vt:lpstr>
      <vt:lpstr>EELMIF</vt:lpstr>
      <vt:lpstr>EEMOF1</vt:lpstr>
      <vt:lpstr>EENFBA</vt:lpstr>
      <vt:lpstr>EEPRUA</vt:lpstr>
      <vt:lpstr>EESMCF</vt:lpstr>
      <vt:lpstr>EFMS55</vt:lpstr>
      <vt:lpstr>ELLIQF</vt:lpstr>
      <vt:lpstr>EOASEF</vt:lpstr>
      <vt:lpstr>EOCHIF</vt:lpstr>
      <vt:lpstr>EODWHF</vt:lpstr>
      <vt:lpstr>EOEDOF</vt:lpstr>
      <vt:lpstr>EOEMOP</vt:lpstr>
      <vt:lpstr>EOUSEF</vt:lpstr>
      <vt:lpstr>EOUSTF</vt:lpstr>
      <vt:lpstr>Disclosure</vt:lpstr>
      <vt:lpstr>Disclosure!Print_Area</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g.greysoft.001</dc:creator>
  <cp:lastModifiedBy>Chandrashekhar Kadechkar - AMC</cp:lastModifiedBy>
  <dcterms:created xsi:type="dcterms:W3CDTF">2015-12-17T12:36:10Z</dcterms:created>
  <dcterms:modified xsi:type="dcterms:W3CDTF">2022-04-08T18:50:20Z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e7b159-da8a-4f43-b4ed-ba6115f6e9fb_Enabled">
    <vt:lpwstr>true</vt:lpwstr>
  </property>
  <property fmtid="{D5CDD505-2E9C-101B-9397-08002B2CF9AE}" pid="3" name="MSIP_Label_fae7b159-da8a-4f43-b4ed-ba6115f6e9fb_SetDate">
    <vt:lpwstr>2022-04-08T16:08:20Z</vt:lpwstr>
  </property>
  <property fmtid="{D5CDD505-2E9C-101B-9397-08002B2CF9AE}" pid="4" name="MSIP_Label_fae7b159-da8a-4f43-b4ed-ba6115f6e9fb_Method">
    <vt:lpwstr>Standard</vt:lpwstr>
  </property>
  <property fmtid="{D5CDD505-2E9C-101B-9397-08002B2CF9AE}" pid="5" name="MSIP_Label_fae7b159-da8a-4f43-b4ed-ba6115f6e9fb_Name">
    <vt:lpwstr>Internal_0</vt:lpwstr>
  </property>
  <property fmtid="{D5CDD505-2E9C-101B-9397-08002B2CF9AE}" pid="6" name="MSIP_Label_fae7b159-da8a-4f43-b4ed-ba6115f6e9fb_SiteId">
    <vt:lpwstr>76fd78b2-83b7-4fc7-b5ba-5f59f5beb8cc</vt:lpwstr>
  </property>
  <property fmtid="{D5CDD505-2E9C-101B-9397-08002B2CF9AE}" pid="7" name="MSIP_Label_fae7b159-da8a-4f43-b4ed-ba6115f6e9fb_ActionId">
    <vt:lpwstr>9d9c1101-7bc1-4ec7-b963-dabfcd0d0d6a</vt:lpwstr>
  </property>
  <property fmtid="{D5CDD505-2E9C-101B-9397-08002B2CF9AE}" pid="8" name="MSIP_Label_fae7b159-da8a-4f43-b4ed-ba6115f6e9fb_ContentBits">
    <vt:lpwstr>0</vt:lpwstr>
  </property>
  <property fmtid="{D5CDD505-2E9C-101B-9397-08002B2CF9AE}" pid="9" name="MSIP_Label_840e60c6-cef6-4cc0-a98d-364c7249d74b_Enabled">
    <vt:lpwstr>true</vt:lpwstr>
  </property>
  <property fmtid="{D5CDD505-2E9C-101B-9397-08002B2CF9AE}" pid="10" name="MSIP_Label_840e60c6-cef6-4cc0-a98d-364c7249d74b_SetDate">
    <vt:lpwstr>2022-04-08T18:37:33Z</vt:lpwstr>
  </property>
  <property fmtid="{D5CDD505-2E9C-101B-9397-08002B2CF9AE}" pid="11" name="MSIP_Label_840e60c6-cef6-4cc0-a98d-364c7249d74b_Method">
    <vt:lpwstr>Privileged</vt:lpwstr>
  </property>
  <property fmtid="{D5CDD505-2E9C-101B-9397-08002B2CF9AE}" pid="12" name="MSIP_Label_840e60c6-cef6-4cc0-a98d-364c7249d74b_Name">
    <vt:lpwstr>840e60c6-cef6-4cc0-a98d-364c7249d74b</vt:lpwstr>
  </property>
  <property fmtid="{D5CDD505-2E9C-101B-9397-08002B2CF9AE}" pid="13" name="MSIP_Label_840e60c6-cef6-4cc0-a98d-364c7249d74b_SiteId">
    <vt:lpwstr>b44900f1-2def-4c3b-9ec6-9020d604e19e</vt:lpwstr>
  </property>
  <property fmtid="{D5CDD505-2E9C-101B-9397-08002B2CF9AE}" pid="14" name="MSIP_Label_840e60c6-cef6-4cc0-a98d-364c7249d74b_ActionId">
    <vt:lpwstr>8285df02-1b76-4a57-81e3-4dc8176ab3c1</vt:lpwstr>
  </property>
  <property fmtid="{D5CDD505-2E9C-101B-9397-08002B2CF9AE}" pid="15" name="MSIP_Label_840e60c6-cef6-4cc0-a98d-364c7249d74b_ContentBits">
    <vt:lpwstr>1</vt:lpwstr>
  </property>
</Properties>
</file>