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ragha\Downloads\"/>
    </mc:Choice>
  </mc:AlternateContent>
  <xr:revisionPtr revIDLastSave="0" documentId="13_ncr:1_{646D0AA4-998B-4178-9E41-A4002A3979C8}" xr6:coauthVersionLast="47" xr6:coauthVersionMax="47" xr10:uidLastSave="{00000000-0000-0000-0000-000000000000}"/>
  <bookViews>
    <workbookView xWindow="-108" yWindow="-108" windowWidth="23256" windowHeight="12456" tabRatio="500" xr2:uid="{00000000-000D-0000-FFFF-FFFF00000000}"/>
  </bookViews>
  <sheets>
    <sheet name="Data" sheetId="2" r:id="rId1"/>
    <sheet name="Disclaimer"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O78" i="2" l="1"/>
  <c r="BD78" i="2"/>
  <c r="BO77" i="2"/>
  <c r="BE77" i="2"/>
  <c r="BD77" i="2"/>
  <c r="BO76" i="2"/>
  <c r="BE76" i="2"/>
  <c r="BD76" i="2"/>
  <c r="BO75" i="2"/>
  <c r="BE75" i="2"/>
  <c r="BD75" i="2"/>
  <c r="BO74" i="2"/>
  <c r="BE74" i="2"/>
  <c r="BD74" i="2"/>
  <c r="BO73" i="2"/>
  <c r="BE73" i="2"/>
  <c r="BD73" i="2"/>
  <c r="BO72" i="2"/>
  <c r="BE72" i="2"/>
  <c r="BD72" i="2"/>
  <c r="BO71" i="2"/>
  <c r="BD71" i="2"/>
  <c r="BO70" i="2"/>
  <c r="BD70" i="2"/>
  <c r="BO69" i="2"/>
  <c r="BE69" i="2"/>
  <c r="BD69" i="2"/>
  <c r="BO68" i="2"/>
  <c r="BE68" i="2"/>
  <c r="BD68" i="2"/>
  <c r="BO67" i="2"/>
  <c r="BD67" i="2"/>
  <c r="BO66" i="2"/>
  <c r="BD66" i="2"/>
  <c r="BO65" i="2"/>
  <c r="BE65" i="2"/>
  <c r="BD65" i="2"/>
  <c r="BO64" i="2"/>
  <c r="BE64" i="2"/>
  <c r="BD64" i="2"/>
  <c r="BO63" i="2"/>
  <c r="BE63" i="2"/>
  <c r="BD63" i="2"/>
  <c r="BO62" i="2"/>
  <c r="BD62" i="2"/>
  <c r="BO61" i="2"/>
  <c r="BD61" i="2"/>
  <c r="BO60" i="2"/>
  <c r="BE60" i="2"/>
  <c r="BD60" i="2"/>
  <c r="BO59" i="2"/>
  <c r="BD59" i="2"/>
  <c r="BO58" i="2"/>
  <c r="BD58" i="2"/>
  <c r="BO57" i="2"/>
  <c r="BD57" i="2"/>
  <c r="BO56" i="2"/>
  <c r="BE56" i="2"/>
  <c r="BD56" i="2"/>
  <c r="BO55" i="2"/>
  <c r="BE55" i="2"/>
  <c r="BD55" i="2"/>
  <c r="BO54" i="2"/>
  <c r="BE54" i="2"/>
  <c r="BD54" i="2"/>
  <c r="BO53" i="2"/>
  <c r="BE53" i="2"/>
  <c r="BD53" i="2"/>
  <c r="BO52" i="2"/>
  <c r="BD52" i="2"/>
  <c r="BO51" i="2"/>
  <c r="BD51" i="2"/>
  <c r="BO50" i="2"/>
  <c r="BE50" i="2"/>
  <c r="BD50" i="2"/>
  <c r="BO49" i="2"/>
  <c r="BE49" i="2"/>
  <c r="BD49" i="2"/>
  <c r="BO48" i="2"/>
  <c r="BD48" i="2"/>
  <c r="BO47" i="2"/>
  <c r="BE47" i="2"/>
  <c r="BD47" i="2"/>
  <c r="BO46" i="2"/>
  <c r="BE46" i="2"/>
  <c r="BD46" i="2"/>
  <c r="BO45" i="2"/>
  <c r="BE45" i="2"/>
  <c r="BD45" i="2"/>
  <c r="BO44" i="2"/>
  <c r="BD44" i="2"/>
  <c r="BO43" i="2"/>
  <c r="BE43" i="2"/>
  <c r="BD43" i="2"/>
  <c r="BO42" i="2"/>
  <c r="BD42" i="2"/>
  <c r="BO41" i="2"/>
  <c r="BE41" i="2"/>
  <c r="BD41" i="2"/>
  <c r="BO40" i="2"/>
  <c r="BE40" i="2"/>
  <c r="BD40" i="2"/>
  <c r="BO39" i="2"/>
  <c r="BD39" i="2"/>
  <c r="BO38" i="2"/>
  <c r="BE38" i="2"/>
  <c r="BD38" i="2"/>
  <c r="BO37" i="2"/>
  <c r="BE37" i="2"/>
  <c r="BD37" i="2"/>
  <c r="BO36" i="2"/>
  <c r="BE36" i="2"/>
  <c r="BD36" i="2"/>
  <c r="BO35" i="2"/>
  <c r="BE35" i="2"/>
  <c r="BD35" i="2"/>
  <c r="BO34" i="2"/>
  <c r="BE34" i="2"/>
  <c r="BD34" i="2"/>
  <c r="BO33" i="2"/>
  <c r="BD33" i="2"/>
  <c r="BO32" i="2"/>
  <c r="BE32" i="2"/>
  <c r="BD32" i="2"/>
  <c r="BO31" i="2"/>
  <c r="BE31" i="2"/>
  <c r="BD31" i="2"/>
  <c r="BO30" i="2"/>
  <c r="BE30" i="2"/>
  <c r="BD30" i="2"/>
  <c r="BO29" i="2"/>
  <c r="BD29" i="2"/>
  <c r="BO28" i="2"/>
  <c r="BE28" i="2"/>
  <c r="BD28" i="2"/>
  <c r="BO27" i="2"/>
  <c r="BD27" i="2"/>
  <c r="BO26" i="2"/>
  <c r="BD26" i="2"/>
  <c r="BO25" i="2"/>
  <c r="BD25" i="2"/>
  <c r="BO24" i="2"/>
  <c r="BE24" i="2"/>
  <c r="BD24" i="2"/>
  <c r="BO23" i="2"/>
  <c r="BE23" i="2"/>
  <c r="BD23" i="2"/>
  <c r="BO22" i="2"/>
  <c r="BE22" i="2"/>
  <c r="BD22" i="2"/>
  <c r="BO21" i="2"/>
  <c r="BD21" i="2"/>
  <c r="BO20" i="2"/>
  <c r="BE20" i="2"/>
  <c r="BD20" i="2"/>
  <c r="BO19" i="2"/>
  <c r="BD19" i="2"/>
  <c r="BO18" i="2"/>
  <c r="BE18" i="2"/>
  <c r="BD18" i="2"/>
  <c r="BO17" i="2"/>
  <c r="BE17" i="2"/>
  <c r="BD17" i="2"/>
  <c r="BO16" i="2"/>
  <c r="BE16" i="2"/>
  <c r="BD16" i="2"/>
  <c r="BO15" i="2"/>
  <c r="BE15" i="2"/>
  <c r="BD15" i="2"/>
  <c r="BO14" i="2"/>
  <c r="BE14" i="2"/>
  <c r="BD14" i="2"/>
  <c r="BO13" i="2"/>
  <c r="BE13" i="2"/>
  <c r="BD13" i="2"/>
  <c r="BO12" i="2"/>
  <c r="BE12" i="2"/>
  <c r="BD12" i="2"/>
  <c r="BO11" i="2"/>
  <c r="BE11" i="2"/>
  <c r="BD11" i="2"/>
  <c r="BO10" i="2"/>
  <c r="BE10" i="2"/>
  <c r="BD10" i="2"/>
  <c r="BO9" i="2"/>
  <c r="BE9" i="2"/>
  <c r="BD9" i="2"/>
  <c r="BO8" i="2"/>
  <c r="BE8" i="2"/>
  <c r="BD8" i="2"/>
  <c r="BO7" i="2"/>
  <c r="BE7" i="2"/>
  <c r="BD7" i="2"/>
  <c r="BO6" i="2"/>
  <c r="BE6" i="2"/>
  <c r="BD6" i="2"/>
  <c r="BO5" i="2"/>
  <c r="BE5" i="2"/>
  <c r="BD5" i="2"/>
  <c r="BO4" i="2"/>
  <c r="BD4" i="2"/>
  <c r="BO3" i="2"/>
  <c r="BE3" i="2"/>
  <c r="BD3" i="2"/>
  <c r="BO2" i="2"/>
  <c r="BE2" i="2"/>
  <c r="BD2" i="2"/>
</calcChain>
</file>

<file path=xl/sharedStrings.xml><?xml version="1.0" encoding="utf-8"?>
<sst xmlns="http://schemas.openxmlformats.org/spreadsheetml/2006/main" count="4488" uniqueCount="1440">
  <si>
    <t>Company ID</t>
  </si>
  <si>
    <t>Companies</t>
  </si>
  <si>
    <t>Acquirers</t>
  </si>
  <si>
    <t># Active Investors</t>
  </si>
  <si>
    <t>Former Investors</t>
  </si>
  <si>
    <t>Active Investors Websites</t>
  </si>
  <si>
    <t>Active Investors</t>
  </si>
  <si>
    <t>Financing Status Note</t>
  </si>
  <si>
    <t>Revenue</t>
  </si>
  <si>
    <t>Revenue Growth %</t>
  </si>
  <si>
    <t>Gross Profit</t>
  </si>
  <si>
    <t>Net Income</t>
  </si>
  <si>
    <t>Enterprise Value</t>
  </si>
  <si>
    <t>EBITDA</t>
  </si>
  <si>
    <t>EBIT</t>
  </si>
  <si>
    <t>Market Cap</t>
  </si>
  <si>
    <t>Net Debt</t>
  </si>
  <si>
    <t>Fiscal Period</t>
  </si>
  <si>
    <t>Primary Contact PBId</t>
  </si>
  <si>
    <t>Primary Contact</t>
  </si>
  <si>
    <t>Primary Contact Title</t>
  </si>
  <si>
    <t>Primary Contact Email</t>
  </si>
  <si>
    <t>Primary Contact Phone</t>
  </si>
  <si>
    <t>HQ Location</t>
  </si>
  <si>
    <t>HQ Address Line 1</t>
  </si>
  <si>
    <t>HQ Address Line 2</t>
  </si>
  <si>
    <t>HQ City</t>
  </si>
  <si>
    <t>HQ State/Province</t>
  </si>
  <si>
    <t>HQ Post Code</t>
  </si>
  <si>
    <t>HQ Country/Territory/Region</t>
  </si>
  <si>
    <t>HQ Phone</t>
  </si>
  <si>
    <t>HQ Fax</t>
  </si>
  <si>
    <t>HQ Email</t>
  </si>
  <si>
    <t>HQ Global Region</t>
  </si>
  <si>
    <t>HQ Global Sub Region</t>
  </si>
  <si>
    <t>Company Former Name</t>
  </si>
  <si>
    <t>Company Also Known As</t>
  </si>
  <si>
    <t>Company Legal Name</t>
  </si>
  <si>
    <t>Registration Number</t>
  </si>
  <si>
    <t>Company Registry</t>
  </si>
  <si>
    <t>Competitors</t>
  </si>
  <si>
    <t>PBId</t>
  </si>
  <si>
    <t>Description</t>
  </si>
  <si>
    <t>Primary Industry Sector</t>
  </si>
  <si>
    <t>Primary Industry Group</t>
  </si>
  <si>
    <t>Primary Industry Code</t>
  </si>
  <si>
    <t>All Industries</t>
  </si>
  <si>
    <t>Verticals</t>
  </si>
  <si>
    <t>Keywords</t>
  </si>
  <si>
    <t>Emerging Spaces</t>
  </si>
  <si>
    <t>Company Financing Status</t>
  </si>
  <si>
    <t>Total Raised</t>
  </si>
  <si>
    <t>Business Status</t>
  </si>
  <si>
    <t>Ownership Status</t>
  </si>
  <si>
    <t>Universe</t>
  </si>
  <si>
    <t>Website</t>
  </si>
  <si>
    <t>LinkedIn URL</t>
  </si>
  <si>
    <t>Employees</t>
  </si>
  <si>
    <t>Employee History</t>
  </si>
  <si>
    <t>Exchange</t>
  </si>
  <si>
    <t>Ticker</t>
  </si>
  <si>
    <t>Year Founded</t>
  </si>
  <si>
    <t>Parent Company</t>
  </si>
  <si>
    <t>Last Updated Date</t>
  </si>
  <si>
    <t>Daily Updates</t>
  </si>
  <si>
    <t>Weekly Updates</t>
  </si>
  <si>
    <t>View Company Online</t>
  </si>
  <si>
    <t>226972-36</t>
  </si>
  <si>
    <t>Huawei Consumer Business Group</t>
  </si>
  <si>
    <t/>
  </si>
  <si>
    <t>FY 2023</t>
  </si>
  <si>
    <t>395892-64P</t>
  </si>
  <si>
    <t>Gang He</t>
  </si>
  <si>
    <t>Chief Executive Officer</t>
  </si>
  <si>
    <t>he.gang@consumer.huawei.com</t>
  </si>
  <si>
    <t>+86 (0)769 2383 9866</t>
  </si>
  <si>
    <t>Dongguan, China</t>
  </si>
  <si>
    <t>No. 2 Xincheng Road, Songshan Lake Park</t>
  </si>
  <si>
    <t>Dongguan</t>
  </si>
  <si>
    <t>Guangdong</t>
  </si>
  <si>
    <t>523808</t>
  </si>
  <si>
    <t>China</t>
  </si>
  <si>
    <t>fengjing1@huawei.com</t>
  </si>
  <si>
    <t>Asia</t>
  </si>
  <si>
    <t>East Asia</t>
  </si>
  <si>
    <t>Huawei Device</t>
  </si>
  <si>
    <t>Huawei Device Co., Ltd.</t>
  </si>
  <si>
    <t>914419000585344943</t>
  </si>
  <si>
    <t>National Enterprise Credit Information Publicity System (China)</t>
  </si>
  <si>
    <t>Provider of mobile phones, personal computers and tablets, wearable devices, mobile broadband terminals, home terminals and terminal clouds. The company's technology based on its more than 30 years of experience in the communications industry, providing the newest smart life products to customers.</t>
  </si>
  <si>
    <t>Consumer Products and Services (B2C)</t>
  </si>
  <si>
    <t>Consumer Non-Durables</t>
  </si>
  <si>
    <t>Personal Products</t>
  </si>
  <si>
    <t>Application Software, Electronic Equipment and Instruments, Personal Products*</t>
  </si>
  <si>
    <t>Mobile</t>
  </si>
  <si>
    <t>branding ambassador, branding value, business result, cloud services, communication technology, consumer business, hardware engineering, images stabilization, mobile phone, smart watch</t>
  </si>
  <si>
    <t>Corporation</t>
  </si>
  <si>
    <t>Profitable</t>
  </si>
  <si>
    <t>Privately Held (no backing)</t>
  </si>
  <si>
    <t>Other Private Companies</t>
  </si>
  <si>
    <t>2020: 1200, 2021: 195000, 2022: 195000</t>
  </si>
  <si>
    <t>Huawei</t>
  </si>
  <si>
    <t>66417-67</t>
  </si>
  <si>
    <t>Chanel</t>
  </si>
  <si>
    <t>78549-85P</t>
  </si>
  <si>
    <t>Bruno Pavlovsky</t>
  </si>
  <si>
    <t>President of Fashion</t>
  </si>
  <si>
    <t>London, United Kingdom</t>
  </si>
  <si>
    <t>5 Barlow Place</t>
  </si>
  <si>
    <t>London</t>
  </si>
  <si>
    <t>England</t>
  </si>
  <si>
    <t>W1J 6DG</t>
  </si>
  <si>
    <t>United Kingdom</t>
  </si>
  <si>
    <t>Europe</t>
  </si>
  <si>
    <t>Western Europe</t>
  </si>
  <si>
    <t>Chanel Modes</t>
  </si>
  <si>
    <t>Chanel S.A.S.</t>
  </si>
  <si>
    <t>00203669</t>
  </si>
  <si>
    <t>Companies House</t>
  </si>
  <si>
    <t>Cartier, Fendi, Gianni Versace, Missoni, Rasasi Perfumes Industry, Jimmy Choo, Dolce &amp; Gabbana, Jil Sander Italia, American Apparel (USA), Marc Jacobs, Diane Von Furstenberg, Giorgio Armani (Internet Retail), Guccio Gucci, Oscar de la Renta, Lipstick Queen, Hermes International, MAC Cosmetics, EDOB Abwicklungs, Bally UK Sales, Kate Spade &amp; Company, Brioni, Coach Stores, Alexander McQueen, Chloe (France), Stuart Weitzman, Liu Jo, Chopard, Dolce &amp; Gabbana UK, Christian Dior, Louis Vuitton, Prada</t>
  </si>
  <si>
    <t>Operator of a fashion brand intended to provide customers with luxury products. The company offers a curated selection of high-end fashion, jewellery, watches, fragrances, and makeup, catering to customers with a discerning taste for luxury goods, enabling customers to elevate their personal style.</t>
  </si>
  <si>
    <t>Apparel and Accessories</t>
  </si>
  <si>
    <t>Clothing</t>
  </si>
  <si>
    <t>Accessories, Clothing*, Luxury Goods, Personal Products</t>
  </si>
  <si>
    <t>Beauty, E-Commerce, LOHAS &amp; Wellness, Manufacturing</t>
  </si>
  <si>
    <t>eyewares, fine jewelry, fragrance product, luxury goods retail, luxury handbags, luxury makeup</t>
  </si>
  <si>
    <t>Generating Revenue</t>
  </si>
  <si>
    <t>2006: 1166, 2007: 1220, 2008: 1264, 2009: 1270, 2011: 1377, 2013: 1788, 2014: 1969, 2015: 2007, 2018: 10000, 2019: 27700, 2020: 27000, 2022: 32116, 2023: 36500, 2024: 25941</t>
  </si>
  <si>
    <t>News (New)</t>
  </si>
  <si>
    <t>109224-01</t>
  </si>
  <si>
    <t>Louis Vuitton</t>
  </si>
  <si>
    <t>227301-76P</t>
  </si>
  <si>
    <t>Pietro Beccari</t>
  </si>
  <si>
    <t>Chief Executive Officer, President &amp; Chairman</t>
  </si>
  <si>
    <t>pietrob@louisvuitton.com</t>
  </si>
  <si>
    <t>Paris, France</t>
  </si>
  <si>
    <t>2 rue du Pont Neuf</t>
  </si>
  <si>
    <t>Paris</t>
  </si>
  <si>
    <t>75001</t>
  </si>
  <si>
    <t>France</t>
  </si>
  <si>
    <t>Louis Vuitton Malletier SAS</t>
  </si>
  <si>
    <t>318571064</t>
  </si>
  <si>
    <t>National Register of companies (RNE)</t>
  </si>
  <si>
    <t>Guccio Gucci, Chloe (France), Gianni Versace, Coach Stores, Kendra Scott, Fendi, Cartier, Lancel, Chopard, Roberto Cavalli, Christian Louboutin, Façonnable, Marc Jacobs, Bally UK Sales, Tommy Hilfiger Footwear Europe, Goyard, Chanel</t>
  </si>
  <si>
    <t>Designer of luxury goods headquartered in Paris, France. The company designs a variety of luxury goods including leather goods, shoes, watches, jewelry, sunglasses, and more.</t>
  </si>
  <si>
    <t>Luxury Goods</t>
  </si>
  <si>
    <t>Distributors/Wholesale, Luxury Goods*</t>
  </si>
  <si>
    <t>luxury apparel, luxury bags, luxury good, luxury product, luxury shoes, luxury wear</t>
  </si>
  <si>
    <t>2021: 25000</t>
  </si>
  <si>
    <t>LVMH Moet Hennessy Louis Vuitton</t>
  </si>
  <si>
    <t>466825-06</t>
  </si>
  <si>
    <t>Rolex</t>
  </si>
  <si>
    <t>FY 2024</t>
  </si>
  <si>
    <t>260726-23P</t>
  </si>
  <si>
    <t>Jean-Frederic Dufour</t>
  </si>
  <si>
    <t>Chief Executive Officer, Managing Director &amp; General Director</t>
  </si>
  <si>
    <t>+41 (0)22 302 2200</t>
  </si>
  <si>
    <t>Geneva, Switzerland</t>
  </si>
  <si>
    <t>3-5-7 rue François-Dussaud</t>
  </si>
  <si>
    <t>Geneva</t>
  </si>
  <si>
    <t>1211</t>
  </si>
  <si>
    <t>Switzerland</t>
  </si>
  <si>
    <t>info@rolex.com</t>
  </si>
  <si>
    <t>Rolex SA</t>
  </si>
  <si>
    <t>TAG Heuer International, Timex Group USA, Swatch, Cartier, Breguet, Maurice Lacroix, Damiani, Longines, Panerai, Hublot</t>
  </si>
  <si>
    <t>Manufacturer and seller of luxury watch headquartered in Geneva, Switzerland. The company markets and sells its products through retailers in Switzerland and internationally, it designs, develops, and produces in-house all the essential components of its watches, from the casting of the gold alloys to the machining, crafting, assembly, and finishing of the movement, case, dial, and bracelet.</t>
  </si>
  <si>
    <t>Accessories</t>
  </si>
  <si>
    <t>Accessories*, Luxury Goods</t>
  </si>
  <si>
    <t>luxury good market, luxury goods &amp; jewelry, luxury watches designer, luxury watches maker, luxury watches manufacturer, luxury watches seller, watchmaking company</t>
  </si>
  <si>
    <t>2023: 14000, 2024: 14000</t>
  </si>
  <si>
    <t>142735-33</t>
  </si>
  <si>
    <t>Berkshire Hathaway Homeservices California Properties</t>
  </si>
  <si>
    <t>San Diego, CA</t>
  </si>
  <si>
    <t>12544 High Bluff Drive San Diego</t>
  </si>
  <si>
    <t>San Diego</t>
  </si>
  <si>
    <t>California</t>
  </si>
  <si>
    <t>92130</t>
  </si>
  <si>
    <t>United States</t>
  </si>
  <si>
    <t>Americas</t>
  </si>
  <si>
    <t>North America</t>
  </si>
  <si>
    <t>Pacific Sotheby's International Realty</t>
  </si>
  <si>
    <t>Provider of real estate services in Southern California. The company offers buying, selling, renting, and financing services for homes, as well as relocation, insurance, and escrow services. Their team of experienced agents provides resources such as virtual tours, market watch, and a mobile app.</t>
  </si>
  <si>
    <t>Business Products and Services (B2B)</t>
  </si>
  <si>
    <t>Commercial Services</t>
  </si>
  <si>
    <t>Other Commercial Services</t>
  </si>
  <si>
    <t>Other Commercial Services*</t>
  </si>
  <si>
    <t>estate market, estate services, multifamily, real estate</t>
  </si>
  <si>
    <t>2023: 8</t>
  </si>
  <si>
    <t>89830-63</t>
  </si>
  <si>
    <t>Swatch</t>
  </si>
  <si>
    <t>77483-17P</t>
  </si>
  <si>
    <t>Nick Hayek</t>
  </si>
  <si>
    <t>nick.hayek@swatchgroup.com</t>
  </si>
  <si>
    <t>+41 (0)32 343 6811</t>
  </si>
  <si>
    <t>Biel/Bienne, Switzerland</t>
  </si>
  <si>
    <t>Jakob Stämpflistrasse 95</t>
  </si>
  <si>
    <t>Biel/Bienne</t>
  </si>
  <si>
    <t>2504</t>
  </si>
  <si>
    <t>Swatch AG</t>
  </si>
  <si>
    <t>Breguet, TAG Heuer International, Maurice Lacroix, Timex Group USA, Rolex, Longines, Skagen Denmark, Gianni Versace, Cartier, Omega (Accessories), Harry Winston, Hublot, Guccio Gucci, HYT Watches, Chaumet, Hermes International, Panerai, Louis Vuitton, Coach Stores, Bulgari, Bell &amp; Ross, Van Cleef &amp; Arpels, Vacheron Constantin, Vortic Watch Company, Compagnie Financiere Richemont</t>
  </si>
  <si>
    <t>Manufacturer watches and jewelry products based in Bienne, Switzerland. The company offers watches of various types like ultra-thin, classic watches, stainless steel watches, automatic watches, square watches, and more.</t>
  </si>
  <si>
    <t>Manufacturing</t>
  </si>
  <si>
    <t>jewelry chain, jewelry products, jewelry products manufacturer, jewelry wear, watches design, watches jewelry, watches product, watches provider</t>
  </si>
  <si>
    <t>2020: 37000, 2021: 36000, 2023: 32000</t>
  </si>
  <si>
    <t>494206-75</t>
  </si>
  <si>
    <t>Joyalukkas</t>
  </si>
  <si>
    <t>The company filed to go public on the National Stock Exchange of India on March 26, 2022. The expected offering amount was INR 2.3 billion. Subsequently, the offering was withdrawn on February 21, 2023.</t>
  </si>
  <si>
    <t>FY 2026</t>
  </si>
  <si>
    <t>356034-25P</t>
  </si>
  <si>
    <t>Joy Alukkas</t>
  </si>
  <si>
    <t>Founder, Managing Director and Chairman</t>
  </si>
  <si>
    <t>jalukkas@joyalukkas.in</t>
  </si>
  <si>
    <t>+91 (0)48 7232 9222</t>
  </si>
  <si>
    <t>Thrissur, India</t>
  </si>
  <si>
    <t>Fathima Nagar</t>
  </si>
  <si>
    <t>Mission Quarters</t>
  </si>
  <si>
    <t>Thrissur</t>
  </si>
  <si>
    <t>Kerala</t>
  </si>
  <si>
    <t>680005</t>
  </si>
  <si>
    <t>India</t>
  </si>
  <si>
    <t>South Asia</t>
  </si>
  <si>
    <t>Joyalukkas India Pvt Ltd</t>
  </si>
  <si>
    <t>Joyalukkas India Limited</t>
  </si>
  <si>
    <t>U51398KL2002PLC015372</t>
  </si>
  <si>
    <t>Ministry of Corporate Affairs (MCA)</t>
  </si>
  <si>
    <t>Manufacturer and distributor of jewelry based in Thrissur, India. The Company offers gold, silver, diamonds, watches, and other precious stones.</t>
  </si>
  <si>
    <t>jewelry accessories, jewelry branding owner, jewelry gold, jewelry manufacturer, jewelry product, platinum jewelry</t>
  </si>
  <si>
    <t>2023: 9000, 2024: 9000</t>
  </si>
  <si>
    <t>531007-57</t>
  </si>
  <si>
    <t>Longines</t>
  </si>
  <si>
    <t>FY 2025</t>
  </si>
  <si>
    <t>355974-67P</t>
  </si>
  <si>
    <t>Matthias Breschan</t>
  </si>
  <si>
    <t>Chief Executive Officer &amp; President</t>
  </si>
  <si>
    <t>matthias.breschan@longines.com</t>
  </si>
  <si>
    <t>Berne, Switzerland</t>
  </si>
  <si>
    <t>Rue des Noyettes 8</t>
  </si>
  <si>
    <t>Saint-Imier</t>
  </si>
  <si>
    <t>Berne</t>
  </si>
  <si>
    <t>2610</t>
  </si>
  <si>
    <t>contact@longines.com</t>
  </si>
  <si>
    <t>Longines Watch Co. Francillon Ltd.</t>
  </si>
  <si>
    <t>Raymond Weil, Swatch, Timex Group USA, Christopher Ward, TAG Heuer International, Bucherer, Cartier, Breitling, Piaget, Rolex, Chopard, Bell &amp; Ross, HYT Watches, Mondaine</t>
  </si>
  <si>
    <t>Manufacturer and retailer of a quartz watch based in Berne, Switzerland. The company offers a wide range of watches and accessories related to spirit flyback, prima luna, pilot property box, turtleneck, and dolcevita land, thereby enabling customers to automatic watches with built stainless steel.</t>
  </si>
  <si>
    <t>Accessories*, Luxury Goods, Specialty Retail</t>
  </si>
  <si>
    <t>automatic watches, craftsmanship, quartz watches, stainless steel, watches boxes, watchmakers</t>
  </si>
  <si>
    <t>2023: 522</t>
  </si>
  <si>
    <t>350946-82</t>
  </si>
  <si>
    <t>Omega (Accessories)</t>
  </si>
  <si>
    <t>Biel-Bienne, Switzerland</t>
  </si>
  <si>
    <t>Rue Jakob Stämpfli 96</t>
  </si>
  <si>
    <t>Biel-Bienne</t>
  </si>
  <si>
    <t>2502</t>
  </si>
  <si>
    <t>Omega</t>
  </si>
  <si>
    <t>Omega Ltd.</t>
  </si>
  <si>
    <t>Christopher Ward, Cartier, Breguet, Bulova, Gianni Versace, Bell &amp; Ross, Audemars Piguet, TAG Heuer International, Fendi, Patek Philippe, Panerai, Guccio Gucci, Swatch, Nixon, Baume &amp; Mercier, LVMH Moet Hennessy Louis Vuitton, Perry Ellis International, Tory Burch, HYT Watches</t>
  </si>
  <si>
    <t>Operator of a luxury watch brand company intended to provide quality timepieces. The company offers luxury watches with timeless black dials, enabling customers to get quality luxury accessories.</t>
  </si>
  <si>
    <t>Accessories*</t>
  </si>
  <si>
    <t>luxury watches, luxury watches boutique, luxury watches dials, luxury watches seller, timepieces jewelry, timepieces product</t>
  </si>
  <si>
    <t>2021: 3, 2024: 1923</t>
  </si>
  <si>
    <t>224136-37</t>
  </si>
  <si>
    <t>Audemars Piguet</t>
  </si>
  <si>
    <t>348621-49P</t>
  </si>
  <si>
    <t>Ilaria Resta</t>
  </si>
  <si>
    <t>ilaria.resta@audemarspiguet.com</t>
  </si>
  <si>
    <t>+41 58 004 64 29</t>
  </si>
  <si>
    <t>Vaud, Switzerland</t>
  </si>
  <si>
    <t>Route de France 16</t>
  </si>
  <si>
    <t>Le Brassus</t>
  </si>
  <si>
    <t>Vaud</t>
  </si>
  <si>
    <t>1348</t>
  </si>
  <si>
    <t>info.asia@audemarspiguet.com</t>
  </si>
  <si>
    <t>Audemars Piguet (Marketing) SA</t>
  </si>
  <si>
    <t>Omega (Accessories), Vortic Watch Company</t>
  </si>
  <si>
    <t>Manufacturer of watches based in Vaud, Switzerland. The company offers luxury watches and has created numerous masterpieces, a testament to the manufacturer's ancestral savoir-faire and forward-thinking spirit.</t>
  </si>
  <si>
    <t>Accessories*, Internet Retail</t>
  </si>
  <si>
    <t>watches dealer, watches design, watches provider, watches show, watches showroom, watchmaking firm</t>
  </si>
  <si>
    <t>2025: 2251</t>
  </si>
  <si>
    <t>507322-00</t>
  </si>
  <si>
    <t>Seiko</t>
  </si>
  <si>
    <t>316961-92P</t>
  </si>
  <si>
    <t>Akio Naito</t>
  </si>
  <si>
    <t>President</t>
  </si>
  <si>
    <t>anaito@seikousa.com</t>
  </si>
  <si>
    <t>Tokyo, Japan</t>
  </si>
  <si>
    <t>26-1, Ginza 1-Chome</t>
  </si>
  <si>
    <t>Chuo-ku</t>
  </si>
  <si>
    <t>Tokyo</t>
  </si>
  <si>
    <t>104-8118</t>
  </si>
  <si>
    <t>Japan</t>
  </si>
  <si>
    <t>Seiko Watch Corporation</t>
  </si>
  <si>
    <t>Operator of watch retail stores and services intended to provide accurate timepieces. The company offers a wide range of watch collections like limited edition series, divers watch, case material based, it also provides repairing service for the same.</t>
  </si>
  <si>
    <t>watches company, watches manufacturer, watches manufacturing, watches repair, watches seller, watches service</t>
  </si>
  <si>
    <t>2023: 12000</t>
  </si>
  <si>
    <t>530285-41</t>
  </si>
  <si>
    <t>CL Grupo Industrial</t>
  </si>
  <si>
    <t>359545-42P</t>
  </si>
  <si>
    <t>Anya Brooke</t>
  </si>
  <si>
    <t>Managing Director</t>
  </si>
  <si>
    <t>abrooke@grupoindustrialcl.com</t>
  </si>
  <si>
    <t>+34 92 456 9100</t>
  </si>
  <si>
    <t>Jerez de los Caballeros, Spain</t>
  </si>
  <si>
    <t>Carretera de Badajoz, 54</t>
  </si>
  <si>
    <t>Jerez de los Caballeros</t>
  </si>
  <si>
    <t>Badajoz</t>
  </si>
  <si>
    <t>06380</t>
  </si>
  <si>
    <t>Spain</t>
  </si>
  <si>
    <t>Southern Europe</t>
  </si>
  <si>
    <t>CL, Cl Industrial</t>
  </si>
  <si>
    <t>Cristian Lay, SA</t>
  </si>
  <si>
    <t>A06017941</t>
  </si>
  <si>
    <t>Infocif</t>
  </si>
  <si>
    <t>Manufacturer of markets industrial and consumer products based in Jerez de los Caballeros, Badajoz. The company operates in the industry, renewable energy, chemical, consumer, and iron and steel sectors with a high commitment to reindustrialization, and provides jewelry, fine jewelry, cosmetics, watches, accessories, and more.</t>
  </si>
  <si>
    <t>Commercial Products</t>
  </si>
  <si>
    <t>Machinery (B2B)</t>
  </si>
  <si>
    <t>Machinery (B2B)*, Other Commercial Products</t>
  </si>
  <si>
    <t>CleanTech, Manufacturing</t>
  </si>
  <si>
    <t>accessories making, cardboard packaging, company operator, cosmetics company, energy company, watches company</t>
  </si>
  <si>
    <t>2023: 1214</t>
  </si>
  <si>
    <t>107421-85</t>
  </si>
  <si>
    <t>Alza.Cz</t>
  </si>
  <si>
    <t>FY 2022</t>
  </si>
  <si>
    <t>328992-58P</t>
  </si>
  <si>
    <t>Ales Zavoral</t>
  </si>
  <si>
    <t>Founder and Chairman</t>
  </si>
  <si>
    <t>ales.zavoral@alza.cz</t>
  </si>
  <si>
    <t>+420 225 340 111</t>
  </si>
  <si>
    <t>Prague, Czech Republic</t>
  </si>
  <si>
    <t>Jatecni 33a</t>
  </si>
  <si>
    <t>Holesovice</t>
  </si>
  <si>
    <t>Prague</t>
  </si>
  <si>
    <t>Czech Republic</t>
  </si>
  <si>
    <t>info@alza.cz</t>
  </si>
  <si>
    <t>Eastern Europe</t>
  </si>
  <si>
    <t>Alza</t>
  </si>
  <si>
    <t>Alza.cz a.s.</t>
  </si>
  <si>
    <t>Operator of an e-commerce company headquartered in Prague, Czech Republic. The company offers a wide range of products including toys for children and babies, cell phones, smart watches, tablets, computers and laptops, household and personal appliances, and more.</t>
  </si>
  <si>
    <t>Retail</t>
  </si>
  <si>
    <t>Internet Retail</t>
  </si>
  <si>
    <t>Internet Retail*</t>
  </si>
  <si>
    <t>E-Commerce</t>
  </si>
  <si>
    <t>computer and electronics, consumer goods, electronics sale, e-shopping, pet supplies, smart watch</t>
  </si>
  <si>
    <t>2022: 1693</t>
  </si>
  <si>
    <t>63809-11</t>
  </si>
  <si>
    <t>Richard Mille</t>
  </si>
  <si>
    <t>The company was in talk to be acquired by Kering as of June 17, 2013. Subsequently the deal was cancelled.</t>
  </si>
  <si>
    <t>Grand Hotel Kempinski</t>
  </si>
  <si>
    <t>Quai du Mont-Blanc 19</t>
  </si>
  <si>
    <t>1201</t>
  </si>
  <si>
    <t>+41 (0)22 732 2022</t>
  </si>
  <si>
    <t>+42 (0)22 738 5195</t>
  </si>
  <si>
    <t>geneva.boutique@richardmille-emea.com</t>
  </si>
  <si>
    <t>Omega (Accessories), IWC Schaffhausen</t>
  </si>
  <si>
    <t>Manufacturer of luxury watches. The company also provides repair and technical services for watches.</t>
  </si>
  <si>
    <t>luxury watches, technical services, watches</t>
  </si>
  <si>
    <t>Failed Transaction (M&amp;A)</t>
  </si>
  <si>
    <t>M&amp;A</t>
  </si>
  <si>
    <t>2014: 38</t>
  </si>
  <si>
    <t>338677-66</t>
  </si>
  <si>
    <t>Rakuten Mobile</t>
  </si>
  <si>
    <t>The telecommunications equipment of the company was acquired by Macquarie Group (ASX: MQG), British Columbia Investment Management and Macquarie Asia Pacific Infrastructure Fund 3 through a Yen 150 to 300 billion sale-leaseback on August 29, 2024. The deal helps the company to improve its liquidity.</t>
  </si>
  <si>
    <t>209304-19P</t>
  </si>
  <si>
    <t>Kenji Hirose</t>
  </si>
  <si>
    <t>Vice Chairman &amp; Director</t>
  </si>
  <si>
    <t>1-14-1 Tamagawa, Setagaya-ku</t>
  </si>
  <si>
    <t>Rakuten Crimson House</t>
  </si>
  <si>
    <t>158-0094</t>
  </si>
  <si>
    <t>info@mobile.rakuten.co.jp</t>
  </si>
  <si>
    <t>Rakuten</t>
  </si>
  <si>
    <t>Rakuten Mobile Co., Ltd.</t>
  </si>
  <si>
    <t>UQ Communications, Ymobile, Google Fiber</t>
  </si>
  <si>
    <t>Provider of telecommunications services intended to serve the Tokyo region. The company offers mobiles, watches, routers, chargers and battery products as well as internet services.</t>
  </si>
  <si>
    <t>Information Technology</t>
  </si>
  <si>
    <t>Communications and Networking</t>
  </si>
  <si>
    <t>Telecommunications Service Providers</t>
  </si>
  <si>
    <t>Internet Service Providers, Specialty Retail, Telecommunications Service Providers*</t>
  </si>
  <si>
    <t>mobile charger, mobile communication business, mobile communication service, mobile network, mobile network enabler, mobile product, watches product</t>
  </si>
  <si>
    <t>2021: 3878, 2022: 3500, 2023: 4600, 2024: 1309</t>
  </si>
  <si>
    <t>Rakuten Group</t>
  </si>
  <si>
    <t>436536-91</t>
  </si>
  <si>
    <t>Western International Group</t>
  </si>
  <si>
    <t>FY 2012</t>
  </si>
  <si>
    <t>233830-09P</t>
  </si>
  <si>
    <t>Basher Kunhiparambath</t>
  </si>
  <si>
    <t>Founder &amp; Managing Director</t>
  </si>
  <si>
    <t>kpb@westernint.com</t>
  </si>
  <si>
    <t>+971 (0)4 816 3000</t>
  </si>
  <si>
    <t>Dubai, United Arab Emirates</t>
  </si>
  <si>
    <t>Plot Number TP18742, Techno Park, Jebel Ali</t>
  </si>
  <si>
    <t>Post Box Number 18742</t>
  </si>
  <si>
    <t>Dubai</t>
  </si>
  <si>
    <t>United Arab Emirates</t>
  </si>
  <si>
    <t>+971 (0)4 880 7213</t>
  </si>
  <si>
    <t>info@westernint.com</t>
  </si>
  <si>
    <t>Middle East</t>
  </si>
  <si>
    <t>Western International, WIG</t>
  </si>
  <si>
    <t>Western International LLC</t>
  </si>
  <si>
    <t>Operator of a multifaceted holding group comprising of several verticals and businesses intended to own and manages several brands of repute across several industries. The company is a diversified business conglomerate, which owns and manages several reputed brands under the areas like distribution of home appliances, kitchenware, tableware, clothing, watches, luggage, bags, shoes, lighting equipment, personal care products and baby supplies and also is an owner of supermarkets and hypermarkets.</t>
  </si>
  <si>
    <t>Financial Services</t>
  </si>
  <si>
    <t>Other Financial Services</t>
  </si>
  <si>
    <t>Holding Companies</t>
  </si>
  <si>
    <t>Holding Companies*</t>
  </si>
  <si>
    <t>conglomerate business, conglomerate business group, conglomerate company, holding company, holding corporation, holding firm</t>
  </si>
  <si>
    <t>2012: 5000, 2016: 10000</t>
  </si>
  <si>
    <t>306487-63</t>
  </si>
  <si>
    <t>wates construction international</t>
  </si>
  <si>
    <t>FY 2021</t>
  </si>
  <si>
    <t>Port Chester, NY</t>
  </si>
  <si>
    <t>Port Chester</t>
  </si>
  <si>
    <t>New York</t>
  </si>
  <si>
    <t>10573</t>
  </si>
  <si>
    <t>+1 (914) 934-7550</t>
  </si>
  <si>
    <t>+1 (914) 934-7607</t>
  </si>
  <si>
    <t>Chapter of the American Institute of Architects providing resources and support to members. AIA Westchester Hudson Valley offers events, programs, and continuing education opportunities for architects and emerging professionals. The organization also provides a vendor directory, job bank/classifieds, and news and resources for architects. AIA WHV supports career growth, advocacy, sustainability, and future architects through scholarships and educational programs.</t>
  </si>
  <si>
    <t>Software</t>
  </si>
  <si>
    <t>Application Software</t>
  </si>
  <si>
    <t>Application Software*</t>
  </si>
  <si>
    <t>career development, development potential, leadership development, leadership program, local events, professional development program, program development, retirement community, watches industry, young professional</t>
  </si>
  <si>
    <t>2024: 6, 2025: 6</t>
  </si>
  <si>
    <t>607797-46</t>
  </si>
  <si>
    <t>E-Fran</t>
  </si>
  <si>
    <t>403916-50P</t>
  </si>
  <si>
    <t>Taishi Kamura</t>
  </si>
  <si>
    <t>Yokohama, Japan</t>
  </si>
  <si>
    <t>Queen's Tower B15, 2-3-3 Minatomirai</t>
  </si>
  <si>
    <t>Nishi-ku</t>
  </si>
  <si>
    <t>Yokohama</t>
  </si>
  <si>
    <t>Kanagawa</t>
  </si>
  <si>
    <t>E-Fran Co., Ltd.</t>
  </si>
  <si>
    <t>Operator of an e-commerce buy-back specialty store intended to purchase and sell high-end jewellery, watches, and billions. The company provides golf lessons, hydrogen inhalation salon services to review daily exercise and diet and exercise programs to increase basal body temperature and metabolism.</t>
  </si>
  <si>
    <t>Educational and Training Services (B2C), Internet Retail*, Other Services (B2C Non-Financial)</t>
  </si>
  <si>
    <t>buyback service, buyback solutions, ecommerce platform, e-commerce/e-business, exercise and diet, golf lessons, salon services</t>
  </si>
  <si>
    <t>2022: 1336</t>
  </si>
  <si>
    <t>219347-92</t>
  </si>
  <si>
    <t>Degussa Goldhandel</t>
  </si>
  <si>
    <t>349393-69P</t>
  </si>
  <si>
    <t>Christian Rauch</t>
  </si>
  <si>
    <t>Chief Executive Officer &amp; Managing Director</t>
  </si>
  <si>
    <t>christian.rauch@degussa-goldhandel.de</t>
  </si>
  <si>
    <t>+49 (0)69 8600 680</t>
  </si>
  <si>
    <t>Munich, Germany</t>
  </si>
  <si>
    <t>Promenadeplatz 12</t>
  </si>
  <si>
    <t>Munich</t>
  </si>
  <si>
    <t>Bayern</t>
  </si>
  <si>
    <t>80333</t>
  </si>
  <si>
    <t>Germany</t>
  </si>
  <si>
    <t>+49 (0)69 8600 6822 2</t>
  </si>
  <si>
    <t>info@degussa-goldhandel.de</t>
  </si>
  <si>
    <t>Degussa</t>
  </si>
  <si>
    <t>Degussa Sonne/Mond Goldhandel GmbH</t>
  </si>
  <si>
    <t>HRB 188979</t>
  </si>
  <si>
    <t>München District Court</t>
  </si>
  <si>
    <t>Operator of a precious metal products and investment company headquartered in Munich, Germany. The company offers a wide range of products that include wholesale distribution of jewelry for precious stones and metals, costume jewelry, watches, clocks, silverware, online shops, and services such as gold purchase and storage product customization, engraving, and more, and also offers its precious metal expertise in trading, recycling, and production.</t>
  </si>
  <si>
    <t>Materials and Resources</t>
  </si>
  <si>
    <t>Metals, Minerals and Mining</t>
  </si>
  <si>
    <t>Precious Metals and Minerals Mining</t>
  </si>
  <si>
    <t>Other Consumer Durables, Other Metals, Minerals and Mining, Precious Metals and Minerals Mining*, Specialty Retail</t>
  </si>
  <si>
    <t>investment company, metal production, metal recycling process, online gold, precious metal product, precious metals, private wealth, product customization, shops online</t>
  </si>
  <si>
    <t>2010: 3, 2011: 3, 2012: 50, 2013: 66, 2014: 78, 2015: 50, 2016: 50, 2017: 4, 2018: 159, 2019: 160, 2024: 200, 2025: 220</t>
  </si>
  <si>
    <t>225105-31</t>
  </si>
  <si>
    <t>Rolex Watch UK</t>
  </si>
  <si>
    <t>Chief Executive Officer, Managing Director, General Manager and Director</t>
  </si>
  <si>
    <t>19 St. James's Square</t>
  </si>
  <si>
    <t>SW1Y 4JE</t>
  </si>
  <si>
    <t>+44 (0)20 7024 7300</t>
  </si>
  <si>
    <t>info@rolex-deutschland.de</t>
  </si>
  <si>
    <t>The Rolex Watch Company Limited</t>
  </si>
  <si>
    <t>00142138</t>
  </si>
  <si>
    <t>Chopard, Boucheron Holding</t>
  </si>
  <si>
    <t>Manufacturer and designer of luxury watches dedicated to making watches that are built to last. The company product offering includes watched for both men and women in different styles and colors, it is also actively involved in supporting the arts, exploration, sports and the environment through sponsoring and philanthropic programs.</t>
  </si>
  <si>
    <t>Other Apparel</t>
  </si>
  <si>
    <t>Luxury Goods, Other Apparel*</t>
  </si>
  <si>
    <t>Industrials, Manufacturing</t>
  </si>
  <si>
    <t>luxury watches, luxury watches designer, luxury watches maker, luxury watches manufacturer, luxury watches seller</t>
  </si>
  <si>
    <t>2018: 192, 2019: 194, 2020: 203, 2021: 4536</t>
  </si>
  <si>
    <t>118228-78</t>
  </si>
  <si>
    <t>Jaeger-LeCoultre</t>
  </si>
  <si>
    <t>Compagnie Financiere Richemont</t>
  </si>
  <si>
    <t>406130-14P</t>
  </si>
  <si>
    <t>Philippe Hermann</t>
  </si>
  <si>
    <t>Chief Financial Officer &amp; Interim Chief Executive Officer</t>
  </si>
  <si>
    <t>philippe.hermann@jaeger-lecoultre.com</t>
  </si>
  <si>
    <t>+41 (0)21 620 3000</t>
  </si>
  <si>
    <t>Le Chenit, Switzerland</t>
  </si>
  <si>
    <t>Rue de la Golisse 8</t>
  </si>
  <si>
    <t>Le Sentier</t>
  </si>
  <si>
    <t>Le Chenit</t>
  </si>
  <si>
    <t>1347</t>
  </si>
  <si>
    <t>info@jaeger-lecoultre.com</t>
  </si>
  <si>
    <t>JLC</t>
  </si>
  <si>
    <t>Richemont International SA</t>
  </si>
  <si>
    <t>Manufacturer of watchmaking products intended to provide customers easy access to timepieces. The company offers various watches such as the reverso, the duo plan, the master control, the geophysics, the memovox polaris, the gyro tourbillon, as well as the atmos clock.</t>
  </si>
  <si>
    <t>apparel accessory, clock making, clock tools, fine watchmaking, sustainable development, watchmaking company, watchmaking product</t>
  </si>
  <si>
    <t>2023: 959</t>
  </si>
  <si>
    <t>225035-20</t>
  </si>
  <si>
    <t>Hama (Electronics)</t>
  </si>
  <si>
    <t>259451-38P</t>
  </si>
  <si>
    <t>Christoph Thomas</t>
  </si>
  <si>
    <t>Board Member</t>
  </si>
  <si>
    <t>+49 (0)90 9150 20</t>
  </si>
  <si>
    <t>Monheim, Germany</t>
  </si>
  <si>
    <t>Dresdner Strasse 9</t>
  </si>
  <si>
    <t>Monheim</t>
  </si>
  <si>
    <t>86653</t>
  </si>
  <si>
    <t>info.de@hama.com</t>
  </si>
  <si>
    <t>Hama GmbH &amp; Co KG</t>
  </si>
  <si>
    <t>HRA 1220</t>
  </si>
  <si>
    <t>Augsburg District Court</t>
  </si>
  <si>
    <t>Spigen (USA), Twelve South, Promate Technologies, Artwizz, HYPER (Electronics), TYLT, Incipio, Augroup, Anker Innovations</t>
  </si>
  <si>
    <t>Manufacturer and retailer of electronic goods headquartered in Monheim, Germany. The company offers a wide range of products such as smart home devices, accessories, smart watches, tablets and laptops, and mobile phones, thus enabling customers to choose from a wide depth of product range.</t>
  </si>
  <si>
    <t>Consumer Durables</t>
  </si>
  <si>
    <t>Electronics (B2C)</t>
  </si>
  <si>
    <t>Electronics (B2C)*, Household Appliances, Internet Retail, Specialty Retail</t>
  </si>
  <si>
    <t>Internet of Things, Manufacturing</t>
  </si>
  <si>
    <t>consumer electronic, consumer electronic device, consumer electronic manufacturer, household appliances, smart watch, speakers sets, tablets device</t>
  </si>
  <si>
    <t>2012: 2481, 2013: 2473, 2016: 4, 2017: 4, 2018: 4, 2019: 4, 2020: 4, 2021: 2508, 2022: 2533</t>
  </si>
  <si>
    <t>217508-86</t>
  </si>
  <si>
    <t>Bonas Group</t>
  </si>
  <si>
    <t>344690-02P</t>
  </si>
  <si>
    <t>Philip Hoymans</t>
  </si>
  <si>
    <t>Managing Director &amp; Vice President</t>
  </si>
  <si>
    <t>philip.hoymans@bonasgroup.com</t>
  </si>
  <si>
    <t>+32 (0)3 233 70 80</t>
  </si>
  <si>
    <t>Antwerp, Belgium</t>
  </si>
  <si>
    <t>Pelikaanstraat 62</t>
  </si>
  <si>
    <t>Suite 915</t>
  </si>
  <si>
    <t>Antwerp</t>
  </si>
  <si>
    <t>2018</t>
  </si>
  <si>
    <t>Belgium</t>
  </si>
  <si>
    <t>diamondbrokers@bonasgroup.com</t>
  </si>
  <si>
    <t>Bonas</t>
  </si>
  <si>
    <t>Bonas-Couzyn NV</t>
  </si>
  <si>
    <t>404935507</t>
  </si>
  <si>
    <t>Crossroads Bank for Enterprises (CBE)</t>
  </si>
  <si>
    <t>Operator of a diamond brokerage and consultancy firm headquartered in Antwerp, Belgium. The company's line of business includes the wholesale distribution of jewelry, precious stones and metals, costume jewelry, watches, clocks, and silverware.</t>
  </si>
  <si>
    <t>Consulting Services (B2B), Distributors/Wholesale, Other Commercial Services*</t>
  </si>
  <si>
    <t>commercial brokerage services, commercial manufacturing, consultancy firm, diamond brokerage, manufacturing consultancy, manufacturing intelligence, professional brokerage services</t>
  </si>
  <si>
    <t>2014: 7, 2015: 7, 2016: 9, 2017: 14, 2018: 15, 2019: 15, 2020: 14, 2021: 15, 2022: 14, 2023: 27</t>
  </si>
  <si>
    <t>65361-34</t>
  </si>
  <si>
    <t>C. Mahendra Exports</t>
  </si>
  <si>
    <t>Brand Capital</t>
  </si>
  <si>
    <t>Brand Capital sold its stake in the company on an undisclosed date. The company was later delisted.</t>
  </si>
  <si>
    <t>FY 2014</t>
  </si>
  <si>
    <t>Mumbai, India</t>
  </si>
  <si>
    <t>Tower C, Office Number CC - 6011</t>
  </si>
  <si>
    <t>6th Floor, Bharat Diamond Bourse, Bandra-Kurla Complex</t>
  </si>
  <si>
    <t>Mumbai</t>
  </si>
  <si>
    <t>Maharashtra</t>
  </si>
  <si>
    <t>400051</t>
  </si>
  <si>
    <t>C.Mahendra Exports Ltd.</t>
  </si>
  <si>
    <t>U15200MH1992PTC064699</t>
  </si>
  <si>
    <t>Manufacturer and distributor of gems and jewelry. The company cuts and polishes diamonds as well as manufacture diamonds, gold medallions, studded jewelry, watches, clocks, and silverware.</t>
  </si>
  <si>
    <t>diamond merchant, gemstone mining, jewel merchant, jewelry producer, jewelry trader</t>
  </si>
  <si>
    <t>Private Equity, Publicly Listed</t>
  </si>
  <si>
    <t>2010: 827, 2011: 901, 2013: 368, 2014: 368</t>
  </si>
  <si>
    <t>224867-26</t>
  </si>
  <si>
    <t>Rolex Deutschland Gesellschaft Mit Beschränkter Haftung</t>
  </si>
  <si>
    <t>426139-93P</t>
  </si>
  <si>
    <t>Rémi Corpataux</t>
  </si>
  <si>
    <t>remicorpataux@rolex.com</t>
  </si>
  <si>
    <t>Cologne, Germany</t>
  </si>
  <si>
    <t>Dompropst-Ketzer-Strasse 1 - 9</t>
  </si>
  <si>
    <t>Cologne</t>
  </si>
  <si>
    <t>50667</t>
  </si>
  <si>
    <t>HRB 1791</t>
  </si>
  <si>
    <t>Köln District Court</t>
  </si>
  <si>
    <t>Manufacturer and distributor of luxury watches, Rolex offers high-quality timepieces and has partnerships with various sports. The company also has initiatives such as Perpetual Planet and Perpetual Arts. The website provides information on buying and maintaining a Rolex watch, as well as the history of the brand and its founder, Hans Wilsdorf.</t>
  </si>
  <si>
    <t>Distributors/Wholesale</t>
  </si>
  <si>
    <t>Distributors/Wholesale*</t>
  </si>
  <si>
    <t>Industrials</t>
  </si>
  <si>
    <t>high precision, information display technology, innovation performance, precious metal development site, reserves power, submarine construction, web chat, web video, wheels balances</t>
  </si>
  <si>
    <t>2011: 100, 2012: 107, 2013: 104, 2014: 100, 2015: 118, 2016: 100, 2017: 100, 2018: 136, 2019: 136, 2020: 151, 2021: 150, 2022: 157</t>
  </si>
  <si>
    <t>132340-78</t>
  </si>
  <si>
    <t>Graff Diamonds</t>
  </si>
  <si>
    <t>The company filed to go public on Hong Kong stock exchange under the ticker symbol of 1306 on February 16, 2012. The expected offering amount was HKD 6.224 billion. They intended to sell 210,270,200 shares at a price of HKD 37 per share. Subsequently, the offering was withdrawn on May 30, 2012.</t>
  </si>
  <si>
    <t>173755-63P</t>
  </si>
  <si>
    <t>Francois Graff</t>
  </si>
  <si>
    <t>graff@graffdiamonds.com</t>
  </si>
  <si>
    <t>+44 (0)20 7584 8571</t>
  </si>
  <si>
    <t>28-29 Albemarle Street</t>
  </si>
  <si>
    <t>W1S 4JA</t>
  </si>
  <si>
    <t>+44 (0)20 7581 3415</t>
  </si>
  <si>
    <t>enquiries@graffdiamonds.com</t>
  </si>
  <si>
    <t>Graff Diamonds Ltd</t>
  </si>
  <si>
    <t>00678883</t>
  </si>
  <si>
    <t>Provider of luxury watches and diamond ring based in London, United Kingdom. The company operates within the industries of luxury goods, accessories, and educational and training services (b2c).</t>
  </si>
  <si>
    <t>diamond ring, luxury watches</t>
  </si>
  <si>
    <t>2000: 54, 2001: 55, 2002: 64, 2003: 67, 2004: 76, 2005: 88, 2006: 108, 2007: 129, 2008: 126, 2009: 105, 2010: 129, 2011: 145, 2012: 189, 2013: 195, 2014: 212, 2015: 219, 2016: 211, 2022: 500</t>
  </si>
  <si>
    <t>123043-96</t>
  </si>
  <si>
    <t>Victorinox</t>
  </si>
  <si>
    <t>255338-56P</t>
  </si>
  <si>
    <t>Carl Elsener</t>
  </si>
  <si>
    <t>Owner, Chief Executive Officer &amp; Chairman</t>
  </si>
  <si>
    <t>carl.elsener@victorinox.com</t>
  </si>
  <si>
    <t>+41 (0)41 818 1211</t>
  </si>
  <si>
    <t>Ibach, Switzerland</t>
  </si>
  <si>
    <t>Schmiedgasse 57</t>
  </si>
  <si>
    <t>Ibach</t>
  </si>
  <si>
    <t>6438</t>
  </si>
  <si>
    <t>info@victorinox.com</t>
  </si>
  <si>
    <t>Victorinox Swiss Army</t>
  </si>
  <si>
    <t>Victorinox AG</t>
  </si>
  <si>
    <t>DICOTA, Globe-Trotter, Zadig &amp; Voltaire, Case Logic, ZWILLING J.A. Henckels, Mobile Edge, LeSportsac, Samsonite, Incase Designs, Misen</t>
  </si>
  <si>
    <t>Manufacturer and retailer of consumer durables and accessories headquartered in Ibach, Switzerland. The company's product offering includes swiss army knives, cutlery, watches, travel gear and fragrances.</t>
  </si>
  <si>
    <t>Other Consumer Durables</t>
  </si>
  <si>
    <t>Accessories, Other Consumer Durables*</t>
  </si>
  <si>
    <t>accessories kits, fragrances manufacturer, knife manufacturer, swiss knives, watches maker</t>
  </si>
  <si>
    <t>2020: 2100, 2021: 2100, 2022: 2100, 2023: 2200, 2024: 2200</t>
  </si>
  <si>
    <t>206419-15</t>
  </si>
  <si>
    <t>Bauer-Walser</t>
  </si>
  <si>
    <t>Keltern, Germany</t>
  </si>
  <si>
    <t>Bunsenstrasse 4 - 6</t>
  </si>
  <si>
    <t>Keltern</t>
  </si>
  <si>
    <t>Baden-Wurttemberg</t>
  </si>
  <si>
    <t>75210</t>
  </si>
  <si>
    <t>Bauer-Walser AG</t>
  </si>
  <si>
    <t>HRB 505590</t>
  </si>
  <si>
    <t>Mannheim District Court</t>
  </si>
  <si>
    <t>Manufacturer of precious metal products and services designed to supply the jewelry and watch industries. The company produces and distributes semi-finished goods, including sheets, wires, and rods. It also offers CNC machining services, precious metal recycling, and trading of metals like gold, silver, platinum, and palladium. The entity serves businesses looking for high-quality materials and services in the precious metals market.</t>
  </si>
  <si>
    <t>Other Consumer Durables*</t>
  </si>
  <si>
    <t>2012: 100, 2013: 113, 2014: 113, 2015: 108, 2016: 114, 2017: 114, 2018: 114, 2019: 114, 2020: 114, 2021: 154, 2022: 173, 2023: 187</t>
  </si>
  <si>
    <t>115516-54</t>
  </si>
  <si>
    <t>Bosco di Ciliegi</t>
  </si>
  <si>
    <t>FY 2009</t>
  </si>
  <si>
    <t>334588-69P</t>
  </si>
  <si>
    <t>Alexei Kvortsov</t>
  </si>
  <si>
    <t>Chief Financial Officer</t>
  </si>
  <si>
    <t>+7 (8)495 620 3328</t>
  </si>
  <si>
    <t>Moscow, Russia</t>
  </si>
  <si>
    <t>3 Red Square Gum</t>
  </si>
  <si>
    <t>Moscow</t>
  </si>
  <si>
    <t>109012</t>
  </si>
  <si>
    <t>Russia</t>
  </si>
  <si>
    <t>info@bosco.ru</t>
  </si>
  <si>
    <t>Bosco di Ciliegi OOO</t>
  </si>
  <si>
    <t>Operator of a chain of retail stores intended to sell clothes and accessories. The company's store has a wide range of women's and men's attire along with watches, jewelry and beauty products such as cosmetics and perfumes, enabling customers to create a unique sense of style.</t>
  </si>
  <si>
    <t>Accessories, Clothing*, Internet Retail</t>
  </si>
  <si>
    <t>clothes and accessories, clothing retail, clothing retail chain, clothing retailer, online clothing store, retail stores</t>
  </si>
  <si>
    <t>2015: 5001</t>
  </si>
  <si>
    <t>Gum Trade House</t>
  </si>
  <si>
    <t>122175-82</t>
  </si>
  <si>
    <t>Timpson Group</t>
  </si>
  <si>
    <t>301526-65P</t>
  </si>
  <si>
    <t>Paresh Majithia</t>
  </si>
  <si>
    <t>Finance Director</t>
  </si>
  <si>
    <t>Manchester, United Kingdom</t>
  </si>
  <si>
    <t>Timpson House</t>
  </si>
  <si>
    <t>Claverton Road</t>
  </si>
  <si>
    <t>Manchester</t>
  </si>
  <si>
    <t>M23 9TT</t>
  </si>
  <si>
    <t>Timpson</t>
  </si>
  <si>
    <t>Timpson Ltd.</t>
  </si>
  <si>
    <t>02339274</t>
  </si>
  <si>
    <t>Owner and operator of a retail company intended to offer a wide range of repairing services and consumer products. The company's retail services offers shoe repairs, key cutting, watch repairs, engraved personalized gifts like photo Zippo lighters and slate house signs, dry cleaning and assisted photo ID and also provides specialist locksmith service such as lock outs, access control security and master key systems for domestic customers and others, enabling customers to fulfil their shoe repair, key cutting and dry cleaning needs.</t>
  </si>
  <si>
    <t>Other Retail</t>
  </si>
  <si>
    <t>Other Consumer Durables, Other Retail*, Other Services (B2C Non-Financial)</t>
  </si>
  <si>
    <t>E-Commerce, TMT</t>
  </si>
  <si>
    <t>locksmith service, retail stores, security, shoes repair service</t>
  </si>
  <si>
    <t>2018: 45, 2019: 5600, 2020: 5500, 2021: 5400, 2022: 5000, 2023: 4164, 2024: 5600</t>
  </si>
  <si>
    <t>267389-56</t>
  </si>
  <si>
    <t>Marc Jacobs</t>
  </si>
  <si>
    <t>224206-03P</t>
  </si>
  <si>
    <t>Eric Marechalle</t>
  </si>
  <si>
    <t>emarechalle@marcjacobs.com</t>
  </si>
  <si>
    <t>+1 (877) 707-6272</t>
  </si>
  <si>
    <t>New York, NY</t>
  </si>
  <si>
    <t>72 Spring Street</t>
  </si>
  <si>
    <t>2nd Floor</t>
  </si>
  <si>
    <t>10012</t>
  </si>
  <si>
    <t>Marc Jacobs International, LLC</t>
  </si>
  <si>
    <t>Roberto Cavalli, Kate Spade, Façonnable, Anya Hindmarch, Coach Stores, Kendra Scott, Hermes International, Diane Von Furstenberg, Gianni Versace, Dolce &amp; Gabbana, Tom Ford International, Proenza Schouler, Jack Rogers, Kenneth Cole Productions, Brooks Brothers Japan, Topshop, Dolce &amp; Gabbana UK, The Kooples, Cole Haan (Footwear), Guccio Gucci, Luisa Via Roma, Aether (Clothing), Brooks Brothers Australia, Lafayette 148, Chanel, Givenchy, Kate Spade &amp; Company, Furla, Brooks Brothers Group, Herschel Supply Company, Moschino, Louis Vuitton, Tory Burch, Christian Dior</t>
  </si>
  <si>
    <t>Provider of apparel and accessories for both men and women intended to offer a variety of products. The company provides bags, shoes, wallets, watches, perfumes, mobile cases, sunglasses, jewellery and other such accessories, thereby enabling clothes for children as well as adults.</t>
  </si>
  <si>
    <t>Accessories*, Clothing, Luxury Goods</t>
  </si>
  <si>
    <t>accessories seller, clothing branding, fashionable apparel, leather wear, luxury clothing</t>
  </si>
  <si>
    <t>2022: 863, 2023: 949</t>
  </si>
  <si>
    <t>341008-75</t>
  </si>
  <si>
    <t>Bike-Discount</t>
  </si>
  <si>
    <t>274320-19P</t>
  </si>
  <si>
    <t>Ralf Heisig</t>
  </si>
  <si>
    <t>r.heisig@bike-discount.de</t>
  </si>
  <si>
    <t>+49 (0)26 4189 000</t>
  </si>
  <si>
    <t>Grafschaft, Germany</t>
  </si>
  <si>
    <t>Konrad-Zuse-Strasse 20</t>
  </si>
  <si>
    <t>Grafschaft</t>
  </si>
  <si>
    <t>53501</t>
  </si>
  <si>
    <t>+49 (0)22 2588 8819 9</t>
  </si>
  <si>
    <t>info@bike-discount.de</t>
  </si>
  <si>
    <t>H&amp;S Bike-Discount GmbH</t>
  </si>
  <si>
    <t>HRB 23821</t>
  </si>
  <si>
    <t>Koblenz District Court</t>
  </si>
  <si>
    <t>Manufacturer and retailer of bicycle components based in Grafschaft, Germany. The company's product offering includes electronic bikes, trekking bikes, bike tools, hydration systems, sports watches and clothing.</t>
  </si>
  <si>
    <t>Internet Retail, Other Consumer Durables*, Specialty Retail</t>
  </si>
  <si>
    <t>bike accessories, bikes components, bikes tools, city bikes, mountain bike, sporting goods</t>
  </si>
  <si>
    <t>2011: 50, 2012: 186, 2013: 100, 2014: 100, 2015: 445, 2016: 200, 2017: 200, 2018: 268, 2019: 268, 2020: 420, 2021: 430, 2022: 374</t>
  </si>
  <si>
    <t>563862-43</t>
  </si>
  <si>
    <t>JDI Europe</t>
  </si>
  <si>
    <t>Barthstraße 4</t>
  </si>
  <si>
    <t>Bavaria</t>
  </si>
  <si>
    <t>80339</t>
  </si>
  <si>
    <t>JDI Europe GmbH</t>
  </si>
  <si>
    <t>HRB 197326</t>
  </si>
  <si>
    <t>The company primarily operates in the Electrical Equipment industry. JDI Europe was founded in 2012 and is headquartered in Munich, Germany.</t>
  </si>
  <si>
    <t>Electrical Equipment</t>
  </si>
  <si>
    <t>Electrical Equipment*, Electronics (B2C)</t>
  </si>
  <si>
    <t>smart watch</t>
  </si>
  <si>
    <t>2011: 3, 2012: 20, 2013: 40, 2014: 37, 2015: 36, 2016: 36, 2017: 20, 2018: 20, 2019: 20, 2020: 20, 2021: 20, 2022: 44</t>
  </si>
  <si>
    <t>528903-46</t>
  </si>
  <si>
    <t>Piaget</t>
  </si>
  <si>
    <t>359906-32P</t>
  </si>
  <si>
    <t>Benjamin Comar</t>
  </si>
  <si>
    <t>benjamin.comar@piaget.com</t>
  </si>
  <si>
    <t>Chemin du Champ-des-Filles 37</t>
  </si>
  <si>
    <t>Plan-les-Ouates</t>
  </si>
  <si>
    <t>1228</t>
  </si>
  <si>
    <t>Piaget SA</t>
  </si>
  <si>
    <t>Breguet, Swatch, Christopher Ward, Boucheron Holding, Chopard, TAG Heuer International, Buccellati Holding Italia, Montblanc (Accessories), Cartier, Gianni Versace, Omega (Accessories), Maurice Lacroix, Guccio Gucci, Breitling, Harry Winston, Bremont, Parmigiani Fleurier, Rolex, Hermes International, Panerai, Hublot, Jacob &amp; Co, Brioni, LVMH Moet Hennessy Louis Vuitton, Corneliani, Coach Stores, Bulgari, Patek Philippe, Longines, Louis Vuitton, Damiani, Kenneth Cole Productions, Van Cleef &amp; Arpels, Richard Mille, IWC Schaffhausen, HYT Watches, EDOB Abwicklungs, Frederique Constant, Nixon, Mondaine</t>
  </si>
  <si>
    <t>Manufacturer and designer of watches and jewelry intended to offer minimalist-inspired men's and women's luxury products. The company offers a range of products including steel watches, automatic-movement watches, tourbillon watches, rings, bracelets, necklaces, and more.</t>
  </si>
  <si>
    <t>automatic watches, jewelry designer, luxury goods, luxury watches, watches designer, watches manufacturer</t>
  </si>
  <si>
    <t>2023: 1263</t>
  </si>
  <si>
    <t>213059-53</t>
  </si>
  <si>
    <t>Beaverbrooks</t>
  </si>
  <si>
    <t>174515-05P</t>
  </si>
  <si>
    <t>Anna Blackburn</t>
  </si>
  <si>
    <t>+44 (0)12 5372 1262</t>
  </si>
  <si>
    <t>Saint Annes, United Kingdom</t>
  </si>
  <si>
    <t>Adele House Park Road On Sea</t>
  </si>
  <si>
    <t>Lancashire</t>
  </si>
  <si>
    <t>Saint Annes</t>
  </si>
  <si>
    <t>FY8 1RE</t>
  </si>
  <si>
    <t>Adlestones (Jewellers) Limited</t>
  </si>
  <si>
    <t>Beaverbrooks the Jewellers Ltd.</t>
  </si>
  <si>
    <t>00321773</t>
  </si>
  <si>
    <t>H. Samuel, Laing the Jeweller (Glasgow), Ross-Simons</t>
  </si>
  <si>
    <t>Manufacturer of diamonds, jewellery and watch sets headquartered in Saint Annes, England. The company specializes in designing engagement rings, watches, men's and women's jewellery, wedding jewellery sets, and more.</t>
  </si>
  <si>
    <t>Accessories*, Specialty Retail</t>
  </si>
  <si>
    <t>branding engagement, diamond earrings, engagement rings, engagement rings design, fine watches</t>
  </si>
  <si>
    <t>2013: 800, 2019: 950, 2020: 979, 2021: 966, 2022: 982, 2023: 1082, 2024: 1176</t>
  </si>
  <si>
    <t>208881-10</t>
  </si>
  <si>
    <t>Casio Europe</t>
  </si>
  <si>
    <t>SM Investments (Lisbon)</t>
  </si>
  <si>
    <t>Norderstedt, Germany</t>
  </si>
  <si>
    <t>Casio-platz 1</t>
  </si>
  <si>
    <t>Norderstedt</t>
  </si>
  <si>
    <t>22848</t>
  </si>
  <si>
    <t>+49 (0)40 5286 5</t>
  </si>
  <si>
    <t>info@casio.de</t>
  </si>
  <si>
    <t>Casio Europe GmbH</t>
  </si>
  <si>
    <t>HRB 3315 NO</t>
  </si>
  <si>
    <t>Kiel District Court</t>
  </si>
  <si>
    <t>Seller and marketer of consumer electronic products and business systems in Europe. The company's consumer electronics products include watches, school and graphic calculator, office computers, musical instruments, electronic dictionaries, digital cameras, pos systems, projectors, mobile data collection and marking systems, enabling customers to receive quality consumer electronics.</t>
  </si>
  <si>
    <t>Electronics (B2C)*, Internet Retail, Other Consumer Durables</t>
  </si>
  <si>
    <t>consumer electronic product, consumer electronic seller, consumer electronics manufacturer, consumer electronics product</t>
  </si>
  <si>
    <t>2011: 200, 2012: 200, 2013: 336, 2014: 328, 2015: 289, 2016: 328, 2017: 328, 2018: 328, 2019: 317, 2020: 303, 2021: 286, 2022: 271, 2023: 268</t>
  </si>
  <si>
    <t>205265-26</t>
  </si>
  <si>
    <t>Schaap Citroen</t>
  </si>
  <si>
    <t>331846-84P</t>
  </si>
  <si>
    <t>Mark Nieuwkerk</t>
  </si>
  <si>
    <t>marknieuwkerk@schaapcitroen.nl</t>
  </si>
  <si>
    <t>+31 (0)20 346 3400</t>
  </si>
  <si>
    <t>Diemen, Netherlands</t>
  </si>
  <si>
    <t>Diemerhof 10 A</t>
  </si>
  <si>
    <t>Diemen</t>
  </si>
  <si>
    <t>1112 XN</t>
  </si>
  <si>
    <t>Netherlands</t>
  </si>
  <si>
    <t>info@schaapcitroen.nl</t>
  </si>
  <si>
    <t>Schaap en Citroen B.V.</t>
  </si>
  <si>
    <t>33081563</t>
  </si>
  <si>
    <t>KVK</t>
  </si>
  <si>
    <t>Retailer of luxury watches and jewelry headquartered in Diemen, Netherlands. The company specializes in proposal rings, wedding rings, bracelets, necklaces, earrings, and more.</t>
  </si>
  <si>
    <t>jewelleries online, luxury goods retail, luxury watches, luxury watches seller, online ordering, retail goods, retail luxury goods</t>
  </si>
  <si>
    <t>2011: 68, 2012: 74, 2013: 75, 2014: 86, 2016: 115, 2017: 126, 2018: 138, 2019: 155, 2020: 155, 2021: 178, 2022: 226, 2023: 174</t>
  </si>
  <si>
    <t>Ledema</t>
  </si>
  <si>
    <t>464506-75</t>
  </si>
  <si>
    <t>Apart</t>
  </si>
  <si>
    <t>429444-10P</t>
  </si>
  <si>
    <t>Adam Rsczynski</t>
  </si>
  <si>
    <t>Founder</t>
  </si>
  <si>
    <t>adam.raczynski@apart.pl</t>
  </si>
  <si>
    <t>+48 61 895 5555</t>
  </si>
  <si>
    <t>Gmina Suchy Las, Poland</t>
  </si>
  <si>
    <t>Ulrich Stara Droga 3</t>
  </si>
  <si>
    <t>Suchy Las</t>
  </si>
  <si>
    <t>Gmina Suchy Las</t>
  </si>
  <si>
    <t>62-002</t>
  </si>
  <si>
    <t>Poland</t>
  </si>
  <si>
    <t>info@apart.pl</t>
  </si>
  <si>
    <t>Apart Sp. z o.o.</t>
  </si>
  <si>
    <t>56437</t>
  </si>
  <si>
    <t>EKRS</t>
  </si>
  <si>
    <t>Manufacturer of jewelry and watchmaking company intended to serve children, men, and women. The company offers a wide range of jewelry and watch products such as rings, earrings, necklaces, bracelets, smart watches, gold, and diamond articles, and also provides online retail sales.</t>
  </si>
  <si>
    <t>Accessories*, Other Consumer Durables, Specialty Retail</t>
  </si>
  <si>
    <t>E-Commerce, Manufacturing</t>
  </si>
  <si>
    <t>bracelets &amp; rings, bracelets online, jewelry creation, jewelry items, jewelry wear, necklaces design, smart watch, watchmaking company</t>
  </si>
  <si>
    <t>2018: 2051, 2019: 2064, 2020: 1973, 2021: 1934, 2022: 1935, 2023: 2006</t>
  </si>
  <si>
    <t>426020-95</t>
  </si>
  <si>
    <t>R-Store</t>
  </si>
  <si>
    <t>419690-62P</t>
  </si>
  <si>
    <t>Giancarlo Fimiani</t>
  </si>
  <si>
    <t>Founder &amp; Chief Executive Officer</t>
  </si>
  <si>
    <t>gfimiani@rstore.it</t>
  </si>
  <si>
    <t>+39 06 9152 4000</t>
  </si>
  <si>
    <t>Naples, Italy</t>
  </si>
  <si>
    <t>Via Vittoria Colonna, 14</t>
  </si>
  <si>
    <t>Naples</t>
  </si>
  <si>
    <t>Napoli</t>
  </si>
  <si>
    <t>80121</t>
  </si>
  <si>
    <t>Italy</t>
  </si>
  <si>
    <t>info@rstore.it</t>
  </si>
  <si>
    <t>R-Store S.P.A.</t>
  </si>
  <si>
    <t>05984211218</t>
  </si>
  <si>
    <t>Italian Business Register</t>
  </si>
  <si>
    <t>Retailer of apple products based in Naples, Italy. The compnay offers a wide range of Apple products, including Macs, iPads, iPhones, and Apple watches, and also provides repair services and support for Apple devices.</t>
  </si>
  <si>
    <t>Specialty Retail</t>
  </si>
  <si>
    <t>Other Services (B2C Non-Financial), Specialty Retail*</t>
  </si>
  <si>
    <t>apple devices, apple product and accessories, apple product seller, apple products, apple products retail, ipad repair service, iphone app store, iphone devices, iphone parts retailer, mac product</t>
  </si>
  <si>
    <t>2024: 331, 2025: 312</t>
  </si>
  <si>
    <t>295177-15</t>
  </si>
  <si>
    <t>JomaShop</t>
  </si>
  <si>
    <t>Brooklyn, NY</t>
  </si>
  <si>
    <t>140 58th Street</t>
  </si>
  <si>
    <t>Brooklyn</t>
  </si>
  <si>
    <t>11220</t>
  </si>
  <si>
    <t>info@jomashop.com</t>
  </si>
  <si>
    <t>Saks, Chrono24</t>
  </si>
  <si>
    <t>Provider of luxury goods intended for the retail and wholesale trade of watches, fine writing instruments, handbags, fashion accessories, crystal, and gift items. The company strives to provide the perfect combination of competitive pricing and corps of customer service specialists, delivering a variety of luxury goods to fulfill the needs of its customer base.</t>
  </si>
  <si>
    <t>Accessories, Clothing, Specialty Retail*</t>
  </si>
  <si>
    <t>luxury goods, luxury goods &amp; jewelry, luxury goods marketplace, luxury goods online, luxury goods shopping</t>
  </si>
  <si>
    <t>Debt Financed</t>
  </si>
  <si>
    <t>2025: 52</t>
  </si>
  <si>
    <t>206060-59</t>
  </si>
  <si>
    <t>Strego</t>
  </si>
  <si>
    <t>Angers, France</t>
  </si>
  <si>
    <t>4 Rue Papiau De La Verrie</t>
  </si>
  <si>
    <t>Angers</t>
  </si>
  <si>
    <t>Pays De La Loire</t>
  </si>
  <si>
    <t>49000</t>
  </si>
  <si>
    <t>063200885</t>
  </si>
  <si>
    <t>Operator of a jewelry retail chain with physical and online stores. Strego Juwelier offers a diverse selection of jewelry and watches from popular brands, including Michael Kors, Emporio Armani, and Ti Sento Milano. The company also provides services such as jewelry and watch repairs, engraving, and ear piercing. Customers can purchase gift cards and enjoy free shipping on orders over €50. Strego Juwelier has seven locations in Amsterdam, Amstelveen, Almere, Alphen aan den Rijn, Hilversum, Heiloo, and Nieuwegein.</t>
  </si>
  <si>
    <t>Services (Non-Financial)</t>
  </si>
  <si>
    <t>Accounting, Audit and Tax Services (B2C)</t>
  </si>
  <si>
    <t>Accounting, Audit and Tax Services (B2C)*</t>
  </si>
  <si>
    <t>2020: 993</t>
  </si>
  <si>
    <t>612056-62</t>
  </si>
  <si>
    <t>Fund Grube</t>
  </si>
  <si>
    <t>436697-20P</t>
  </si>
  <si>
    <t>Dhiraj Chhabria</t>
  </si>
  <si>
    <t>dchhabria@fundgrube.com</t>
  </si>
  <si>
    <t>+34 92 814 0238</t>
  </si>
  <si>
    <t>San Bartolome De Tirajana, Spain</t>
  </si>
  <si>
    <t>Calle Cartago 1 Poligono Industrial El Tablero</t>
  </si>
  <si>
    <t>San Bartolome De Tirajana</t>
  </si>
  <si>
    <t>Las Palmas</t>
  </si>
  <si>
    <t>35109</t>
  </si>
  <si>
    <t>info@fundgrube.es</t>
  </si>
  <si>
    <t>Fund Grube SL</t>
  </si>
  <si>
    <t>Fund Grube Sociedad Anonima</t>
  </si>
  <si>
    <t>A35233667</t>
  </si>
  <si>
    <t>Provider of retail website intended for customers with a diverse selection of discounted products and special promotions. The company offers a curated collection of discounted perfumes, cosmetics, fashion, bags, watches, jewelers, and other diverse products, highlighting special deals, enabling customers to discover and purchase unique items at competitive prices.</t>
  </si>
  <si>
    <t>Specialty Retail*</t>
  </si>
  <si>
    <t>cosmetics selling platform, jeweler jewelry, perfume shop, retail website, special promotion, watches site</t>
  </si>
  <si>
    <t>676048-42</t>
  </si>
  <si>
    <t>RK Enterprise</t>
  </si>
  <si>
    <t>The company reached a definitive agreement to be acquired by Komehyo Company (TKS: 2780) for JPY 4.2 billion on September 25, 2024. The company is being actively tracked by PitchBook.</t>
  </si>
  <si>
    <t>414522-10P</t>
  </si>
  <si>
    <t>Yukoi Hara</t>
  </si>
  <si>
    <t>Representative Director &amp; Chief Executive Officer</t>
  </si>
  <si>
    <t>+81 (0)45 900 2777</t>
  </si>
  <si>
    <t>RK Central Building, 3-104 Horaicho</t>
  </si>
  <si>
    <t>Naka-ku</t>
  </si>
  <si>
    <t>Kanagawa Prefecture</t>
  </si>
  <si>
    <t>info@rk-enterprise.jp</t>
  </si>
  <si>
    <t>RK Enterprise Co., Ltd.</t>
  </si>
  <si>
    <t>Retailer of luxury goods intended for resale and auction purposes. The company offers a wide range of products including watches, precious metals, shoes, bags and other leather products, textile products for clothing, daily necessities, automobiles and second-hand goods and provides services including repair and auction of luxury items, enabling the second-hand market to access well-maintained products.</t>
  </si>
  <si>
    <t>Distributors/Wholesale (B2C), Specialty Retail*</t>
  </si>
  <si>
    <t>pawnshop assets, pawnshop business, pawnshop chain, pawnshop franchise, pawnshop industry, pawnshop property</t>
  </si>
  <si>
    <t>Pending Transaction (M&amp;A)</t>
  </si>
  <si>
    <t>2024: 210</t>
  </si>
  <si>
    <t>213524-11</t>
  </si>
  <si>
    <t>Dubail</t>
  </si>
  <si>
    <t>331850-53P</t>
  </si>
  <si>
    <t>Pierre Dubail</t>
  </si>
  <si>
    <t>pierredubail@dubail.fr</t>
  </si>
  <si>
    <t>+33 (0)1 42 61 11 17</t>
  </si>
  <si>
    <t>21, place Vendôme</t>
  </si>
  <si>
    <t>contact@dubail.fr</t>
  </si>
  <si>
    <t>Dubail Paris</t>
  </si>
  <si>
    <t>SARL Edilys</t>
  </si>
  <si>
    <t>491289229</t>
  </si>
  <si>
    <t>Retailer of luxury watches and jewelry headquartered in Paris, France. The company offers a range of luxury products such as wedding rings, rings, earrings, wristbands, pendants, watches, and more.</t>
  </si>
  <si>
    <t>luxury jewelry, luxury jewelry accessories, luxury watches, luxury watches boutique, luxury watches maker, wedding rings</t>
  </si>
  <si>
    <t>2023: 23</t>
  </si>
  <si>
    <t>60722-38</t>
  </si>
  <si>
    <t>Iduna</t>
  </si>
  <si>
    <t>58014-46P</t>
  </si>
  <si>
    <t>Sten Warborn</t>
  </si>
  <si>
    <t>Owner &amp; Chairman</t>
  </si>
  <si>
    <t>sten.warborn@iduna.se</t>
  </si>
  <si>
    <t>+46 (0) 340 59 54 00</t>
  </si>
  <si>
    <t>Varberg, Sweden</t>
  </si>
  <si>
    <t>Varberg</t>
  </si>
  <si>
    <t>432 84</t>
  </si>
  <si>
    <t>Sweden</t>
  </si>
  <si>
    <t>Northern Europe</t>
  </si>
  <si>
    <t>Iduna Ab</t>
  </si>
  <si>
    <t>5560609058</t>
  </si>
  <si>
    <t>Bolagsverket</t>
  </si>
  <si>
    <t>Operator of a retail chain intended to offer a range of gold, silver and costume jewelry. The company offers a range of gold, silver and costume jewelry choices, and also offers watches and gift items.</t>
  </si>
  <si>
    <t>Accessories, Luxury Goods, Specialty Retail*</t>
  </si>
  <si>
    <t>jewelry retail, jewelry retailer, jewelry store, jewelry store network, jewelry store operator, retail business</t>
  </si>
  <si>
    <t>2018: 633, 2019: 616, 2020: 562, 2021: 573, 2022: 603, 2023: 623</t>
  </si>
  <si>
    <t>Golden Heights</t>
  </si>
  <si>
    <t>214515-46</t>
  </si>
  <si>
    <t>Fashion UK</t>
  </si>
  <si>
    <t>Green BELLE (www.greenbelle.org.uk)</t>
  </si>
  <si>
    <t>Green BELLE</t>
  </si>
  <si>
    <t>The company received GBP 10,000 of grant funding from Green BELLE on an undisclosed date.</t>
  </si>
  <si>
    <t>343188-28P</t>
  </si>
  <si>
    <t>Gurdev Mattu</t>
  </si>
  <si>
    <t>Director &amp; Board Member</t>
  </si>
  <si>
    <t>gurdev.mattu@fashions-uk.com</t>
  </si>
  <si>
    <t>+44 (0)11 6276 2929</t>
  </si>
  <si>
    <t>Leicester, United Kingdom</t>
  </si>
  <si>
    <t>11 Street Georges Way</t>
  </si>
  <si>
    <t>Leicester</t>
  </si>
  <si>
    <t>LE1 1SH</t>
  </si>
  <si>
    <t>info@fashions-uk.com</t>
  </si>
  <si>
    <t>Red-Hot Clothing Limited, B M FASHIONS (U.K.) LIMITED</t>
  </si>
  <si>
    <t>B.M. Fashion (UK) Ltd.</t>
  </si>
  <si>
    <t>03863347</t>
  </si>
  <si>
    <t>Designer and manufacturer of wearing apparel and accessories headquartered in Leicester, United Kingdom. The company offers a wide range of products including bags, hats, gloves, watches, umbrellas, jewelry, footwear, and more.</t>
  </si>
  <si>
    <t>Clothing*, Other Apparel</t>
  </si>
  <si>
    <t>apparel manufacturer, apparel manufacturing company, babywear products, footwear accessories, footwear brand, footwear manufacturer, kids wear, wearing apparel</t>
  </si>
  <si>
    <t>2012: 30, 2013: 41, 2014: 46, 2015: 49, 2016: 46, 2017: 54, 2018: 60, 2019: 70, 2020: 94, 2021: 92, 2022: 118, 2023: 146, 2024: 161</t>
  </si>
  <si>
    <t>B M Fashions (Holdings)</t>
  </si>
  <si>
    <t>322999-66</t>
  </si>
  <si>
    <t>invicta stores</t>
  </si>
  <si>
    <t>Hollywood, FL</t>
  </si>
  <si>
    <t>Hollywood</t>
  </si>
  <si>
    <t>Florida</t>
  </si>
  <si>
    <t>33020</t>
  </si>
  <si>
    <t>Distributor of Invicta watches, jewelry, and sunglasses, with both online and physical locations. The company offers free shipping and returns on orders over a certain amount, as well as customer care, warranty, and parts and service support. Invicta Stores also hold a semi-annual sale.</t>
  </si>
  <si>
    <t>Other Retail*</t>
  </si>
  <si>
    <t>accessories collection, character recognition, construction accessories, construction expertise, construction technique, data collection, feedback forming, market shares, mechanical construction, new technologies</t>
  </si>
  <si>
    <t>539194-96</t>
  </si>
  <si>
    <t>Costlocker</t>
  </si>
  <si>
    <t>372397-24P</t>
  </si>
  <si>
    <t>David Maralík</t>
  </si>
  <si>
    <t>david@costlocker.com</t>
  </si>
  <si>
    <t>Plzenska 3350/18</t>
  </si>
  <si>
    <t>130 00</t>
  </si>
  <si>
    <t>Costlocker s.r.o.</t>
  </si>
  <si>
    <t>Wave Financial, Cloudability</t>
  </si>
  <si>
    <t>Developer of finance management software designed to help agencies to understand how much their projects pay off financially. The company's platform offers features such as keeping track of invoicing and predicting cash flow, watching and managing cash flow, managing external project costs comfortably, tracking time automatically, keeping track of project performance, and more.</t>
  </si>
  <si>
    <t>Financial Software</t>
  </si>
  <si>
    <t>Business/Productivity Software, Financial Software*</t>
  </si>
  <si>
    <t>FinTech, SaaS</t>
  </si>
  <si>
    <t>finance management, finance management app, finance management platform, finance management platform developer, finance management software, finance management software developer</t>
  </si>
  <si>
    <t>2023: 3</t>
  </si>
  <si>
    <t>54354-79</t>
  </si>
  <si>
    <t>Groupe Galeries Lafayette</t>
  </si>
  <si>
    <t>FY 2019</t>
  </si>
  <si>
    <t>125911-00P</t>
  </si>
  <si>
    <t>Ugo Supino</t>
  </si>
  <si>
    <t>Chief Financial Officer &amp; Board Member</t>
  </si>
  <si>
    <t>usupino@galerieslafayette.com</t>
  </si>
  <si>
    <t>+33 (0)1 42 82 34 56</t>
  </si>
  <si>
    <t>40 Boulevard Haussmann</t>
  </si>
  <si>
    <t>75009</t>
  </si>
  <si>
    <t>contactgroupe@galerieslafayette.com</t>
  </si>
  <si>
    <t>Sa du Garage Gide SA</t>
  </si>
  <si>
    <t>Galeries</t>
  </si>
  <si>
    <t>Societe Anonyme des Galeries Lafayette, S.A.</t>
  </si>
  <si>
    <t>542094065</t>
  </si>
  <si>
    <t>Operator of departmental stores headquartered in Paris, France. The company offers a wide range of products which includes luxury and fashion, household, cosmetics personal care, and culinary specialties intended to specialize in interior decoration, home improvement, tableware, homemaking, leisure, fashion watches, and more.</t>
  </si>
  <si>
    <t>Department Stores</t>
  </si>
  <si>
    <t>Clothing, Department Stores*, Other Apparel, Other Retail</t>
  </si>
  <si>
    <t>clothing producer, culinary stores, fashion chain operator, fashion store operator, fashion studio, interior designer studio, luxury fashion studio</t>
  </si>
  <si>
    <t>Publicly Listed</t>
  </si>
  <si>
    <t>2017: 46, 2020: 16000, 2022: 14000</t>
  </si>
  <si>
    <t>Motier</t>
  </si>
  <si>
    <t>210359-71</t>
  </si>
  <si>
    <t>F.Hinds</t>
  </si>
  <si>
    <t>374942-08P</t>
  </si>
  <si>
    <t>David Hinds</t>
  </si>
  <si>
    <t>Uxbridge, United Kingdom</t>
  </si>
  <si>
    <t>24 Park Road Middlesex</t>
  </si>
  <si>
    <t>Uxbridge</t>
  </si>
  <si>
    <t>UB8 1NH</t>
  </si>
  <si>
    <t>F.Hinds Limited</t>
  </si>
  <si>
    <t>00149328</t>
  </si>
  <si>
    <t>John H. Lunn (Jewellers), Ross-Simons</t>
  </si>
  <si>
    <t>Operator of a jewelry retail chain with 115+ stores in the UK, offering a diverse selection of jewelry, watches, and gifts. The company provides ear piercing, bespoke design, and jewelry repair services. Customers can browse by price, metal, stone, and cut, and choose from a variety of diamond brands. They also offer a range of watches for all ages and gift ideas for various occasions.</t>
  </si>
  <si>
    <t>authentication product, comparison site, goods stores, online comparison site, product authentication, product comparison, product list, product online, stores product, website operation service</t>
  </si>
  <si>
    <t>2019: 683, 2020: 684, 2021: 613, 2022: 638, 2023: 642, 2024: 679</t>
  </si>
  <si>
    <t>343758-25</t>
  </si>
  <si>
    <t>Diesel USA</t>
  </si>
  <si>
    <t>The company filed for Chapter 11 bankruptcy on March 5, 2019.</t>
  </si>
  <si>
    <t>FY 2020</t>
  </si>
  <si>
    <t>220 West 19th Street Floor 5</t>
  </si>
  <si>
    <t>10011</t>
  </si>
  <si>
    <t>Diesel USA Inc.</t>
  </si>
  <si>
    <t>Tommy Hilfiger Group, Reiss, AllSaints, Toms Shoes, Jack Wills, G-Star Raw, J.Crew Group, Anya Hindmarch, River Island, UNIQLO Company, Nasty Gal, Tobi (Clothing)</t>
  </si>
  <si>
    <t>Manufacturer of denim clothing based in New York, USA. The company offers apparel, shoes, accessories, watches and gifts.</t>
  </si>
  <si>
    <t>Accessories, Clothing*, Footwear</t>
  </si>
  <si>
    <t>apparel maker, denim accessories, denim clothing maker, denim jeans</t>
  </si>
  <si>
    <t>Bankruptcy: Admin/Reorg</t>
  </si>
  <si>
    <t>2019: 5000</t>
  </si>
  <si>
    <t>419869-72</t>
  </si>
  <si>
    <t>Pisa Orologeria</t>
  </si>
  <si>
    <t>271829-35P</t>
  </si>
  <si>
    <t>Chiara Pisa</t>
  </si>
  <si>
    <t>Chief Executive Officer &amp; General Manager</t>
  </si>
  <si>
    <t>+39 02 7620 81</t>
  </si>
  <si>
    <t>Milan, Italy</t>
  </si>
  <si>
    <t>Via Pietro Verri 7</t>
  </si>
  <si>
    <t>Milan</t>
  </si>
  <si>
    <t>20121</t>
  </si>
  <si>
    <t>info@pisaorologeria.com</t>
  </si>
  <si>
    <t>Pisa</t>
  </si>
  <si>
    <t>F.lli Pisa S.r.l.</t>
  </si>
  <si>
    <t>01036610150</t>
  </si>
  <si>
    <t>Manufacturer and retailer of watches and jewelry products based in Milan, Italy. The company offers a variety of designs, styles, types and brands of handmade luxury timepieces, precious jewels, earrings, watch boxes, wall clocks and other related products and accessories that enhance elegance and savoir-faire, enabling customers to have stylish yet trendy exquisite collections of products at affordable prices.</t>
  </si>
  <si>
    <t>jewelry gold, luxury watches retailer, watches and accessories, watches and timepieces, watches repair</t>
  </si>
  <si>
    <t>2021: 59, 2023: 87, 2024: 99, 2025: 99</t>
  </si>
  <si>
    <t>538869-52</t>
  </si>
  <si>
    <t>Blockboard (Business/Productivity Software)</t>
  </si>
  <si>
    <t>371287-72P</t>
  </si>
  <si>
    <t>Matt Wasserlauf</t>
  </si>
  <si>
    <t>Co-Founder &amp; Chief Executive Officer</t>
  </si>
  <si>
    <t>matt@myblockboard.com</t>
  </si>
  <si>
    <t>21 West 46th Street</t>
  </si>
  <si>
    <t>9th Floor</t>
  </si>
  <si>
    <t>10036</t>
  </si>
  <si>
    <t>hello@myblockboard.com</t>
  </si>
  <si>
    <t>Blockboard Enterprises</t>
  </si>
  <si>
    <t>Videoico</t>
  </si>
  <si>
    <t>Developer of an advertisement platform designed for agencies, advertisers, and partnerships. The company's platform offers real human-viewed results, creates unique viewer pools, and avoids all fraudulent activity, thereby ensuring that the message runs across high-quality, premium inventory that audiences are actually watching.</t>
  </si>
  <si>
    <t>Business/Productivity Software</t>
  </si>
  <si>
    <t>Business/Productivity Software*, Media and Information Services (B2B)</t>
  </si>
  <si>
    <t>SaaS</t>
  </si>
  <si>
    <t>ad platform, ad technology, advertisement platform, advertising services, ott platform, video accountability company</t>
  </si>
  <si>
    <t>2023: 26, 2024: 28</t>
  </si>
  <si>
    <t>236769-49</t>
  </si>
  <si>
    <t>Bob's Watches</t>
  </si>
  <si>
    <t>227188-09P</t>
  </si>
  <si>
    <t>Joe Alessandrini</t>
  </si>
  <si>
    <t>joe@bobswatches.com</t>
  </si>
  <si>
    <t>+1 (800) 494-3708</t>
  </si>
  <si>
    <t>Newport Beach, CA</t>
  </si>
  <si>
    <t>1900 Quail Street</t>
  </si>
  <si>
    <t>Newport Beach</t>
  </si>
  <si>
    <t>92660</t>
  </si>
  <si>
    <t>TrueFacet, Xupes., Chrono24, Chronoexpert, Crown &amp; Caliber, Chronext, The Watch Hut</t>
  </si>
  <si>
    <t>Retailer of watches intended to offer quality products. The company operates an online marketplace for buying, selling and trading used and new branded, vintage and antique timepieces both for men and women, enabling customers to have stylish, elegant and sophisticated products at affordable prices.</t>
  </si>
  <si>
    <t>Accessories, Other Services (B2C Non-Financial), Specialty Retail*</t>
  </si>
  <si>
    <t>watches and timepieces, watches branding, watches designer, watches seller, watches shops</t>
  </si>
  <si>
    <t>2022: 50</t>
  </si>
  <si>
    <t>155937-52</t>
  </si>
  <si>
    <t>Shiekh Shoes</t>
  </si>
  <si>
    <t>The company filed for Chapter 11 bankruptcy on November 29,2017.</t>
  </si>
  <si>
    <t>163266-85P</t>
  </si>
  <si>
    <t>Shiekh Ellahi</t>
  </si>
  <si>
    <t>Founder, Chief Executive Officer &amp; Sole Managing Member</t>
  </si>
  <si>
    <t>shiekh@shiekhshoes.com</t>
  </si>
  <si>
    <t>+1 (510) 754-6916</t>
  </si>
  <si>
    <t>Ontario, CA</t>
  </si>
  <si>
    <t>1777 South Vintage Avenue</t>
  </si>
  <si>
    <t>Ontario</t>
  </si>
  <si>
    <t>91761</t>
  </si>
  <si>
    <t>+1 (888) 574-4354</t>
  </si>
  <si>
    <t>Shiekh Shoes, LLC</t>
  </si>
  <si>
    <t>Skechers India, SportsShoes.com, Chaco (Footwear), FILA's business in China, Hong Kong and Macao, Zappos.com, Sperry, Payless Shoesource, K-Swiss, Polyvore, Allen Edmonds, Brooks Sports, Salomon, Shoes.com, Road Runner Sports, Dansko, Reebok Italy, L.L. Bean, Sole Society, Blowfish Malibu, Lululemon Athletica, Reebok de Mexico, Keds, 6pm.com, Vans, Shoe Palace, Mountain Warehouse, Clarks Shoes, Modell's Sporting Goods</t>
  </si>
  <si>
    <t>Retailer of lifestyle footwear and apparel. The company's footwear products include dress shoes, casual shoes, boots, sandals, slippers, wedges, pumps, high heels and sneakers, and apparel includes jackets, pants, sweaters, tank tops, shirts, hoodies, and shorts for men, women and kids. The company also offers accessories, such as handbags, socks and hosiery, insoles, backpacks, watches, and hats through its stores, as well as online, enabling customers to obtain quality footwear and apparel.</t>
  </si>
  <si>
    <t>Footwear</t>
  </si>
  <si>
    <t>Footwear*, Internet Retail, Specialty Retail</t>
  </si>
  <si>
    <t>apparel, boots, footwear, jackets, pants, sandals, shoes, slippers, tops</t>
  </si>
  <si>
    <t>135268-57</t>
  </si>
  <si>
    <t>Berrys Jewellers</t>
  </si>
  <si>
    <t>Leeds, United Kingdom</t>
  </si>
  <si>
    <t>56-62 Albion Street</t>
  </si>
  <si>
    <t>Leeds</t>
  </si>
  <si>
    <t>LS1 6AD</t>
  </si>
  <si>
    <t>+44 (0)11 3245 4797</t>
  </si>
  <si>
    <t>00354466</t>
  </si>
  <si>
    <t>Provider of wedding rings, engagement rings, and jewellery watch. The company operates within the industries of luxury goods, accessories, and specialty retail.</t>
  </si>
  <si>
    <t>Accessories, Luxury Goods*, Specialty Retail</t>
  </si>
  <si>
    <t>engagement rings, jewelry watches, wedding rings</t>
  </si>
  <si>
    <t>2018: 113, 2019: 80, 2020: 87, 2021: 88, 2022: 89, 2023: 130, 2024: 135</t>
  </si>
  <si>
    <t>503660-71</t>
  </si>
  <si>
    <t>Aniplus</t>
  </si>
  <si>
    <t>312747-49P</t>
  </si>
  <si>
    <t>Jeon Seung-taek</t>
  </si>
  <si>
    <t>jseungtaek@aniplus-asia.com</t>
  </si>
  <si>
    <t>Singapore</t>
  </si>
  <si>
    <t>aniplus@plusmedianetworks.com</t>
  </si>
  <si>
    <t>Southeast Asia</t>
  </si>
  <si>
    <t>ANIPLUS ASIA PTE.LTD.</t>
  </si>
  <si>
    <t>Operator of a multinational television channel and anime distributor intended for people to connect through Japanese anime and pop culture. The company offers its platform to watch anime, create content and share its passion for anime, thereby enabling clients to have fun and enjoy.</t>
  </si>
  <si>
    <t>Media</t>
  </si>
  <si>
    <t>Movies, Music and Entertainment</t>
  </si>
  <si>
    <t>Broadcasting, Radio and Television, Movies, Music and Entertainment*</t>
  </si>
  <si>
    <t>Cannabis</t>
  </si>
  <si>
    <t>anime channel, anime distributor, anime tv, kpop channel, multinational television, multinational television channel</t>
  </si>
  <si>
    <t>374614-84</t>
  </si>
  <si>
    <t>Judicial Watch</t>
  </si>
  <si>
    <t>365025-97P</t>
  </si>
  <si>
    <t>Tim Gray</t>
  </si>
  <si>
    <t>Controller</t>
  </si>
  <si>
    <t>tgray@judicialwatch.org</t>
  </si>
  <si>
    <t>+1 (202) 646-5172</t>
  </si>
  <si>
    <t>Washington, DC</t>
  </si>
  <si>
    <t>425 3rd St SW Ste 800</t>
  </si>
  <si>
    <t>Washington</t>
  </si>
  <si>
    <t>District of Columbia</t>
  </si>
  <si>
    <t>20024-3232</t>
  </si>
  <si>
    <t>Judicial Watch, Inc.</t>
  </si>
  <si>
    <t>Judicial Watch is a Washington, DC based private company whose line of business is Legal services office</t>
  </si>
  <si>
    <t>Legal Services (B2B)</t>
  </si>
  <si>
    <t>Legal Services (B2B)*</t>
  </si>
  <si>
    <t>2019: 50</t>
  </si>
  <si>
    <t>232624-36</t>
  </si>
  <si>
    <t>Learning Express Toys</t>
  </si>
  <si>
    <t>The company was approved for a Paycheck Protection Program Loan for $549,600 from Berkshire Bank on April, 14 2020. The application cited 30 jobs to be retained with the financing.</t>
  </si>
  <si>
    <t>312918-94P</t>
  </si>
  <si>
    <t>Lauren Derse</t>
  </si>
  <si>
    <t>CEO</t>
  </si>
  <si>
    <t>laurend@learningexpress.com</t>
  </si>
  <si>
    <t>+1 (978) 889-1000</t>
  </si>
  <si>
    <t>Devens, MA</t>
  </si>
  <si>
    <t>29 Buena Vista Street</t>
  </si>
  <si>
    <t>Devens</t>
  </si>
  <si>
    <t>Massachusetts</t>
  </si>
  <si>
    <t>01434</t>
  </si>
  <si>
    <t>info@learningexpress.com</t>
  </si>
  <si>
    <t>Learning Express</t>
  </si>
  <si>
    <t>Learning Express Inc.</t>
  </si>
  <si>
    <t>Franchisor of educational toy stores in the United States. The company's products include watches, gift sets, toy trains, karaoke microphones, stuffed toys, games and books, enabling customers to obtain quality toys with exceptional play value.</t>
  </si>
  <si>
    <t>Recreational Goods</t>
  </si>
  <si>
    <t>Recreational Goods*</t>
  </si>
  <si>
    <t>educational toys, educational toys store, games, puzzles, toy shop chain, toy store franchise</t>
  </si>
  <si>
    <t>2024: 426, 2025: 445</t>
  </si>
  <si>
    <t>225009-46</t>
  </si>
  <si>
    <t>Seiko Deutschland Branch Of Seiko Uk</t>
  </si>
  <si>
    <t>Willich, Germany</t>
  </si>
  <si>
    <t>Siemensring 44 M</t>
  </si>
  <si>
    <t>Willich</t>
  </si>
  <si>
    <t>North Rhine-Westphalia</t>
  </si>
  <si>
    <t>47877</t>
  </si>
  <si>
    <t>Seiko Deutschland Branch Of Seiko Uk Ltd</t>
  </si>
  <si>
    <t>HRB 7048</t>
  </si>
  <si>
    <t>Krefeld District Court</t>
  </si>
  <si>
    <t>Provider of Seiko watches and accessories designed to offer a diverse selection for watch enthusiasts. The online retailer offers watch collections, serving customers interested in limited editions and pre-orders. Their product range includes automatic, quartz, and solar GPS watches for both men and women, catering to a wide audience of watch collectors and casual buyers.</t>
  </si>
  <si>
    <t>2011: 200, 2012: 296, 2013: 200, 2014: 200, 2015: 397, 2016: 397, 2017: 397, 2018: 397</t>
  </si>
  <si>
    <t>Seiko U.K.</t>
  </si>
  <si>
    <t>213935-95</t>
  </si>
  <si>
    <t>Louis Pion</t>
  </si>
  <si>
    <t>430586-29P</t>
  </si>
  <si>
    <t>Nicolas Houze</t>
  </si>
  <si>
    <t>Chief Executive Officer, President &amp; Chairman of Board of Directors</t>
  </si>
  <si>
    <t>nhouze@louispion.fr</t>
  </si>
  <si>
    <t>Levallois-Perret, France</t>
  </si>
  <si>
    <t>101 Rue Jean Jaures</t>
  </si>
  <si>
    <t>101-109</t>
  </si>
  <si>
    <t>Levallois-Perret</t>
  </si>
  <si>
    <t>Ile-De-France</t>
  </si>
  <si>
    <t>92300</t>
  </si>
  <si>
    <t>Louis Pion SAS</t>
  </si>
  <si>
    <t>389756487</t>
  </si>
  <si>
    <t>Retailer of watches, jewelry, and accessories for all ages. The company offers a variety of products from popular brands such as Seiko, Casio, Michael Kors, and Tommy Hilfiger, including eco-friendly and French-made options. Customers can shop online or in-store.</t>
  </si>
  <si>
    <t>554331-07</t>
  </si>
  <si>
    <t>One For All</t>
  </si>
  <si>
    <t>Enschede, Netherlands</t>
  </si>
  <si>
    <t>Colosseum 2</t>
  </si>
  <si>
    <t>Enschede</t>
  </si>
  <si>
    <t>Overijssel</t>
  </si>
  <si>
    <t>06067125</t>
  </si>
  <si>
    <t>Manufacturer of universal remotes, TV antennas, and TV wall mounts. Offers product support and a user community blog. Focused on providing innovative solutions for home entertainment appliances.</t>
  </si>
  <si>
    <t>Electronics (B2C)*</t>
  </si>
  <si>
    <t>audio video accessoires, consumer electronics, indoor antenna, product design, product development, remote control, smart home, smart solutions, streaming content, wall mount, watching tv</t>
  </si>
  <si>
    <t>2005: 86, 2006: 94, 2007: 103, 2008: 103, 2009: 100, 2010: 96, 2011: 96, 2012: 99, 2013: 100, 2014: 95, 2015: 100, 2016: 87, 2017: 92, 2019: 94, 2020: 94, 2021: 95, 2022: 95, 2023: 93</t>
  </si>
  <si>
    <t>471388-33</t>
  </si>
  <si>
    <t>David Rosas</t>
  </si>
  <si>
    <t>271833-40P</t>
  </si>
  <si>
    <t>Pedro Rosas</t>
  </si>
  <si>
    <t>pedro@davidrosas.com</t>
  </si>
  <si>
    <t>+351 22 606 1060</t>
  </si>
  <si>
    <t>Porto, Portugal</t>
  </si>
  <si>
    <t>Avenida da Boavista, n.º 1471</t>
  </si>
  <si>
    <t>Loja n.º 4</t>
  </si>
  <si>
    <t>Porto</t>
  </si>
  <si>
    <t>4100-131</t>
  </si>
  <si>
    <t>Portugal</t>
  </si>
  <si>
    <t>info@davidrosas.com</t>
  </si>
  <si>
    <t>David Rosas, Lda.</t>
  </si>
  <si>
    <t>501495290</t>
  </si>
  <si>
    <t>EU Registries</t>
  </si>
  <si>
    <t>Operator of a premium jewelry and watchmaking company intended to create unique, timeless jewelry that are original and sophisticated. The company specialize in diamond jewelry that are offered in its retail stores along with the jewelry and luxury watches of other brands, enabling customers to avail high end and quality jewelry pieces under one roof.</t>
  </si>
  <si>
    <t>jewelry branding stores, luxury watches, premium watches, premium watches maker, watchmaking company</t>
  </si>
  <si>
    <t>2021: 41</t>
  </si>
  <si>
    <t>546955-12</t>
  </si>
  <si>
    <t>Chisholm Hunter</t>
  </si>
  <si>
    <t>Glasgow, United Kingdom</t>
  </si>
  <si>
    <t>30 Argyll Arcade</t>
  </si>
  <si>
    <t>Glasgow</t>
  </si>
  <si>
    <t>Scotland</t>
  </si>
  <si>
    <t>G2 8BG</t>
  </si>
  <si>
    <t>SC107277</t>
  </si>
  <si>
    <t>Operator of a UK-based jewelry business offering fine diamonds, jewelry, and Swiss timepieces. Their services include a wide selection of pre-owned watches, including Rolex and TAG Heuer, with complimentary valuations for customers looking to sell their watch. The company has a long-standing history, founded in 1857 in Glasgow, and has since grown to become a leader in the UK jewelry market, with 27 stores located throughout England and Scotland. Additionally, they support various non-profit organizations and charities.</t>
  </si>
  <si>
    <t>2019: 258, 2020: 267, 2021: 258, 2022: 282, 2023: 310, 2024: 346</t>
  </si>
  <si>
    <t>586749-97</t>
  </si>
  <si>
    <t>Iride Metalli</t>
  </si>
  <si>
    <t>Vle Certosa, 95</t>
  </si>
  <si>
    <t>20151</t>
  </si>
  <si>
    <t>iridemetalli@arubapec.it</t>
  </si>
  <si>
    <t>Iride Metalli Spa</t>
  </si>
  <si>
    <t>06153820961</t>
  </si>
  <si>
    <t>Operator of a precious metals and diamond service in Milan, Italy. Iride Metalli offers high-end jewelry, watch, and diamond purchase and sale, as well as silver and gold coin trading. The entity also provides precious metal refining services and collaborates with partner foundries for the analysis and recovery of precious metals from various sources.</t>
  </si>
  <si>
    <t>2024: 5, 2025: 6</t>
  </si>
  <si>
    <t>207235-18</t>
  </si>
  <si>
    <t>Nimogen</t>
  </si>
  <si>
    <t>Macclesfield, United Kingdom</t>
  </si>
  <si>
    <t>36-38 Park Green</t>
  </si>
  <si>
    <t>Macclesfield</t>
  </si>
  <si>
    <t>SK11 7NE</t>
  </si>
  <si>
    <t>Nimogen Limited</t>
  </si>
  <si>
    <t>02654807</t>
  </si>
  <si>
    <t>Retailer of luxury jewelry with multiple showrooms offering bespoke design, jewelry care and repair, servicing and watchmaking, part-exchange and buy-in, valuations for insurance, and a warranty for their products. The company specializes in high-end watches from various brands, as well as engagement rings, wedding rings, and fine jewelry collections with a focus on diamonds and precious gemstones. They also offer pre-owned watches and a video library.</t>
  </si>
  <si>
    <t>bespoke services, customer engagement, development process, distribution network, maintenance service, precious stone, sales service, service maintenance</t>
  </si>
  <si>
    <t>2019: 43, 2020: 51, 2021: 58, 2022: 62, 2023: 69, 2024: 85</t>
  </si>
  <si>
    <t>Prestons Group</t>
  </si>
  <si>
    <t>657365-86</t>
  </si>
  <si>
    <t>M2i</t>
  </si>
  <si>
    <t>Marolles-en-Hurepoix, France</t>
  </si>
  <si>
    <t>5, Chemin de la Marnière</t>
  </si>
  <si>
    <t>Marolles-en-Hurepoix</t>
  </si>
  <si>
    <t>Ile-de-France</t>
  </si>
  <si>
    <t>91630</t>
  </si>
  <si>
    <t>The company primarily operates in the IT Consulting and Outsourcing industry. M2i was founded in 2010 and is headquartered in Marolles-en-Hurepoix, France.</t>
  </si>
  <si>
    <t>IT Services</t>
  </si>
  <si>
    <t>IT Consulting and Outsourcing</t>
  </si>
  <si>
    <t>IT Consulting and Outsourcing*</t>
  </si>
  <si>
    <t>application development, computer computing, ip watch video, it security, network maintenance, web development</t>
  </si>
  <si>
    <t>Prologue (Systems and Information Management)</t>
  </si>
  <si>
    <t>213575-86</t>
  </si>
  <si>
    <t>Maty</t>
  </si>
  <si>
    <t>351123-40P</t>
  </si>
  <si>
    <t>Francois Guilluy</t>
  </si>
  <si>
    <t>Chief Financial Officer and Financial Director</t>
  </si>
  <si>
    <t>+33 (0)3 81 50 81 41</t>
  </si>
  <si>
    <t>Besancon, France</t>
  </si>
  <si>
    <t>5 Boulevard John F Kennedy</t>
  </si>
  <si>
    <t>Besancon</t>
  </si>
  <si>
    <t>Bourgogne-Franche-Comte</t>
  </si>
  <si>
    <t>25000</t>
  </si>
  <si>
    <t>+33 (0)8 92 89 32 93</t>
  </si>
  <si>
    <t>Maty SAS</t>
  </si>
  <si>
    <t>402327597</t>
  </si>
  <si>
    <t>Manufacturer of luxury goods and jewelry headquartered in Besancon, France. The company offers products like earrings, wristbands, necklaces, watches, rings, pendants, and more.</t>
  </si>
  <si>
    <t>Luxury Goods*</t>
  </si>
  <si>
    <t>jewelry design, jewelry industry, luxury goods, luxury goods &amp; jewelry, luxury goods and jewelry, necklaces and earrings, necklaces design, necklaces jewelry, prestige products</t>
  </si>
  <si>
    <t>2020: 428, 2021: 398, 2023: 500</t>
  </si>
  <si>
    <t>Gemafi</t>
  </si>
  <si>
    <t>598289-32</t>
  </si>
  <si>
    <t>Citizen Watch Italy</t>
  </si>
  <si>
    <t>Pozzo D'adda, Italy</t>
  </si>
  <si>
    <t>Via Del Commercio, 3</t>
  </si>
  <si>
    <t>Pozzo D'adda</t>
  </si>
  <si>
    <t>20060</t>
  </si>
  <si>
    <t>citizenwatchitaly@legalmail.it</t>
  </si>
  <si>
    <t>Citizen Watch Italy S.P.A.</t>
  </si>
  <si>
    <t>10162250152</t>
  </si>
  <si>
    <t>The company primarily operates in the Distributors/Wholesale industry. Citizen Watch Italy was founded in 1990 and is headquartered in Pozzo D'adda, Italy.</t>
  </si>
  <si>
    <t>2023: 32, 2024: 32, 2025: 32</t>
  </si>
  <si>
    <t>756760-78</t>
  </si>
  <si>
    <t>bet (Accessories)</t>
  </si>
  <si>
    <t>The company reached a definitive agreement to be acquired by GFA Company (TKS: 8783) for an undisclosed amount on March 10, 2025. The company is being actively tracked by PitchBook.</t>
  </si>
  <si>
    <t>437405-50P</t>
  </si>
  <si>
    <t>Junto Iwakir</t>
  </si>
  <si>
    <t>Representative Director and Chief Executive Officer</t>
  </si>
  <si>
    <t>+81 (0)66 252 0255</t>
  </si>
  <si>
    <t>Ginza New Central Building 4</t>
  </si>
  <si>
    <t>5-9-14 Ginza, Chuo-ku</t>
  </si>
  <si>
    <t>104-0061</t>
  </si>
  <si>
    <t>+81 (0)66 136 8663</t>
  </si>
  <si>
    <t>info@watch7.jp</t>
  </si>
  <si>
    <t>bet, Watch 7</t>
  </si>
  <si>
    <t>bet Co., Ltd</t>
  </si>
  <si>
    <t>Manufacturer and retailer of recycled brand-name products based in Tokyo, Japan. The company sells watches, boots, shoes, bags and other related products.</t>
  </si>
  <si>
    <t>Accessories*, Footwear, Specialty Retail</t>
  </si>
  <si>
    <t>bags maker, bags making, bags market, shoes, shoes maker, watches, watches maker</t>
  </si>
  <si>
    <t>340953-13</t>
  </si>
  <si>
    <t>Nymans Ur 1851</t>
  </si>
  <si>
    <t>300047-23P</t>
  </si>
  <si>
    <t>Charlotta Eriksson</t>
  </si>
  <si>
    <t>lotta.hedberg-eriksson@teliasonera.com</t>
  </si>
  <si>
    <t>+46 (0)8 504 550 68</t>
  </si>
  <si>
    <t>Stockholm, Sweden</t>
  </si>
  <si>
    <t>Biblioteksgatan 1</t>
  </si>
  <si>
    <t>Stockholm</t>
  </si>
  <si>
    <t>+46 (0)08-545 061 60</t>
  </si>
  <si>
    <t>Nymans Ur</t>
  </si>
  <si>
    <t>Ab Nymans Ur 1851</t>
  </si>
  <si>
    <t>5565814554</t>
  </si>
  <si>
    <t>Retailer of watches based in Stockholm, Sweden. The company offers a wide range of premium watches and jewelry.</t>
  </si>
  <si>
    <t>jewelry, jewelry retailer, luxury watches, premium jewelry, premium watches, watch retailer, watches</t>
  </si>
  <si>
    <t>2019: 62, 2020: 65, 2021: 58, 2022: 60, 2023: 67, 2024: 63</t>
  </si>
  <si>
    <t>118208-08</t>
  </si>
  <si>
    <t>Religare Broking</t>
  </si>
  <si>
    <t>The company was in talks to be acquired by an undisclosed investor for an undisclosed amount on May 31, 2017. Subsequently the deal was cancelled.</t>
  </si>
  <si>
    <t>FY 2016</t>
  </si>
  <si>
    <t>348368-32P</t>
  </si>
  <si>
    <t>Gurpreet Sidana</t>
  </si>
  <si>
    <t>gsidana@religareonline.com</t>
  </si>
  <si>
    <t>+91 (0)11 5556 2271</t>
  </si>
  <si>
    <t>New Delhi, India</t>
  </si>
  <si>
    <t>24, Nehru Place</t>
  </si>
  <si>
    <t>2nd Floor, Rajlok Building</t>
  </si>
  <si>
    <t>New Delhi</t>
  </si>
  <si>
    <t>110019</t>
  </si>
  <si>
    <t>+91 (0)11 4627 2400</t>
  </si>
  <si>
    <t>+91 (0)11 4627 2447</t>
  </si>
  <si>
    <t>info@religareonline.com</t>
  </si>
  <si>
    <t>Religare Online, RSL, Religare, Religare Securities, RBL</t>
  </si>
  <si>
    <t>Religare Broking Ltd.</t>
  </si>
  <si>
    <t>U65910DL1986PTC151115</t>
  </si>
  <si>
    <t>Zerodha Broking, SAMCO (Brokerage), Standard Capital Securities (PVT), Tradejini, Sharekhan</t>
  </si>
  <si>
    <t>Operator of an online stock trading platform intended to offer valuable and insightful research reports along with advanced self-research tools like Star Ratings and Tech Scan for effective online stock trading. The company's online stock trading platform offers trading and investments of stocks, share, bonds and related securities and includes advanced portfolio tracker, live market watch, stock screener and technical analysis of stocks, enabling investors to make investments in companies with simple and smart features of the online platform.</t>
  </si>
  <si>
    <t>Capital Markets/Institutions</t>
  </si>
  <si>
    <t>Brokerage</t>
  </si>
  <si>
    <t>Brokerage*, Other Financial Services</t>
  </si>
  <si>
    <t>FinTech, TMT</t>
  </si>
  <si>
    <t>digital advisory, live market watches, online stock trading, online stock trading platform, portfolio tracker, technical analysis, wealthtech</t>
  </si>
  <si>
    <t>Religare Enterprises</t>
  </si>
  <si>
    <t>464169-79</t>
  </si>
  <si>
    <t>Casio America</t>
  </si>
  <si>
    <t>FY 2018</t>
  </si>
  <si>
    <t>175550-41P</t>
  </si>
  <si>
    <t>Tomoo Kato</t>
  </si>
  <si>
    <t>katot@casio.com</t>
  </si>
  <si>
    <t>+1 (973) 361-5400</t>
  </si>
  <si>
    <t>Dover, NJ</t>
  </si>
  <si>
    <t>570 Mount Pleasant Avenue</t>
  </si>
  <si>
    <t>Dover</t>
  </si>
  <si>
    <t>New Jersey</t>
  </si>
  <si>
    <t>07801</t>
  </si>
  <si>
    <t>Casio America Inc.</t>
  </si>
  <si>
    <t>Citizen Watch (Japan), Samsung Electronics</t>
  </si>
  <si>
    <t>Manufacturer of consumer electronics and business equipment solutions based in Dover, New Jersey. The company offers projectors, calculators, cash registers, label printers, keyboards, digital cameras, watches and other consumer electronic products.</t>
  </si>
  <si>
    <t>Accessories*, Electronics (B2C), Office Electronics</t>
  </si>
  <si>
    <t>calculator, camera, consumer electronics, electronic products, keyboard, projectors, watches</t>
  </si>
  <si>
    <t>Product In Beta Test</t>
  </si>
  <si>
    <t>2021: 494</t>
  </si>
  <si>
    <t>498081-16</t>
  </si>
  <si>
    <t>Abbott Lyon</t>
  </si>
  <si>
    <t>304377-40P</t>
  </si>
  <si>
    <t>Jeremy Skelton</t>
  </si>
  <si>
    <t>Co-Founder, Managing Director &amp; Board Member</t>
  </si>
  <si>
    <t>jezz@abbottlyon.com</t>
  </si>
  <si>
    <t>Bath, United Kingdom</t>
  </si>
  <si>
    <t>27 Gay Street</t>
  </si>
  <si>
    <t>Bath</t>
  </si>
  <si>
    <t>BA1 2PD</t>
  </si>
  <si>
    <t>help@abbottlyonsupport.com</t>
  </si>
  <si>
    <t>AL</t>
  </si>
  <si>
    <t>Abbott Lyon Ltd</t>
  </si>
  <si>
    <t>08953621</t>
  </si>
  <si>
    <t>Operator of an online jewelry store intended to provide personalized jewelry and accessories. The company offers affordable luxury jewelry and accessories that are stylish, trend-led, and designed for personal choice, including pendants, necklaces, watches, earrings, rings, and more.</t>
  </si>
  <si>
    <t>Accessories*, Internet Retail, Luxury Goods, Specialty Retail</t>
  </si>
  <si>
    <t>affordable luxury, luxury accessories, luxury jewelry, luxury watches, online jewelry store, pendants</t>
  </si>
  <si>
    <t>2019: 17, 2020: 24, 2021: 23, 2022: 63, 2024: 191</t>
  </si>
  <si>
    <t>229305-07</t>
  </si>
  <si>
    <t>Werth Messtechnik</t>
  </si>
  <si>
    <t>362064-52P</t>
  </si>
  <si>
    <t>Habil Christoph</t>
  </si>
  <si>
    <t>habil.christoph@werth.de</t>
  </si>
  <si>
    <t>+49 (0)64 1793 80</t>
  </si>
  <si>
    <t>Giessen, Germany</t>
  </si>
  <si>
    <t>Siemensstrasse 19</t>
  </si>
  <si>
    <t>Giessen</t>
  </si>
  <si>
    <t>Hesse</t>
  </si>
  <si>
    <t>35394</t>
  </si>
  <si>
    <t>+49 (0)64 1793 8719</t>
  </si>
  <si>
    <t>mail@werth.de</t>
  </si>
  <si>
    <t>Werth Messtechnik GmbH</t>
  </si>
  <si>
    <t>HRB 211</t>
  </si>
  <si>
    <t>Gießen District Court</t>
  </si>
  <si>
    <t>Manufacturer and distributor of precision measuring instruments intended for mechanical engineering, medical technology, and watch industries. The company's products include coordinate measuring machines with optical, tactile, and computed tomography sensors, multisensor accessories, and measurement software. and offers calibration, installation, and training services.</t>
  </si>
  <si>
    <t>Computer Hardware</t>
  </si>
  <si>
    <t>Electronic Equipment and Instruments</t>
  </si>
  <si>
    <t>Electronic Equipment and Instruments*</t>
  </si>
  <si>
    <t>measuring machine, medical technology industry, multi sensor system, multisensor accessories, precision measuring instruments, precision measuring instruments manufacturer</t>
  </si>
  <si>
    <t>2011: 200, 2012: 200, 2013: 200, 2014: 278, 2015: 264, 2016: 200, 2017: 265, 2018: 265, 2019: 265, 2020: 265, 2021: 379, 2022: 367, 2023: 400</t>
  </si>
  <si>
    <t>Rc Vermögensverwaltung</t>
  </si>
  <si>
    <t>454995-46</t>
  </si>
  <si>
    <t>Shine TV</t>
  </si>
  <si>
    <t>245068-66P</t>
  </si>
  <si>
    <t>Leon Wilson</t>
  </si>
  <si>
    <t>Chief Executive Officer &amp; Board Member</t>
  </si>
  <si>
    <t>leon.wilson@shine.tv</t>
  </si>
  <si>
    <t>+44 (0)37 0042 0042</t>
  </si>
  <si>
    <t>Shepherds Building,Charecroft Way</t>
  </si>
  <si>
    <t>W14 0EE</t>
  </si>
  <si>
    <t>info@shine.tv</t>
  </si>
  <si>
    <t>Newincco 947</t>
  </si>
  <si>
    <t>Shine TV Limited</t>
  </si>
  <si>
    <t>06978553</t>
  </si>
  <si>
    <t>Fox Entertainment Group, Channel Four Television, BBC, Dancing Ledge Productions, MFE - MediaForEurope, All3Media, Keshet International, In Demand, Showtime Networks, MSNBC Cable, YuppTV, Kudos Film and Television, Hartswood Films, Fremantle, STV Group, Starz, Whizz Kid Entertainment, ITV, NBCUniversal</t>
  </si>
  <si>
    <t>Operator of a television media house intended to make popular factual television entertaining. The company creates single documentaries in global factual entertainment formats and hosts a plethora of cooking and reality shows, enabling viewers to enjoy fresh content as well as gain knowledge by watching them.</t>
  </si>
  <si>
    <t>Broadcasting, Radio and Television</t>
  </si>
  <si>
    <t>Broadcasting, Radio and Television*</t>
  </si>
  <si>
    <t>content producer, factual entertainment, factual entertainment shows, media production, television media, television production, television programmes</t>
  </si>
  <si>
    <t>2018: 29, 2019: 29, 2020: 279, 2024: 344, 2025: 424</t>
  </si>
  <si>
    <t>Shine Group</t>
  </si>
  <si>
    <t>525006-10</t>
  </si>
  <si>
    <t>Anton Haban Gesellschaft M.B.H.</t>
  </si>
  <si>
    <t>Vienna, Austria</t>
  </si>
  <si>
    <t>Karntner Strasse 2</t>
  </si>
  <si>
    <t>Vienna</t>
  </si>
  <si>
    <t>1010</t>
  </si>
  <si>
    <t>Austria</t>
  </si>
  <si>
    <t>Haban Bucherer Uhren U Juwelen</t>
  </si>
  <si>
    <t>95729d</t>
  </si>
  <si>
    <t>Firmenbuch</t>
  </si>
  <si>
    <t>Retailer of luxury watches and fine jewellery designed to enhance personal style. The company offers new and certified pre-owned timepieces, serving discerning customers seeking high-quality accessories. Bucherer also specializes in custom jewellery services, providing a unique shopping experience for those looking for personalized options.</t>
  </si>
  <si>
    <t>1999: 40, 2000: 45, 2001: 45, 2002: 43, 2003: 43, 2005: 39, 2006: 40, 2007: 40, 2008: 41, 2009: 40, 2010: 45, 2011: 47, 2012: 54, 2013: 53, 2014: 54, 2015: 51, 2016: 50, 2017: 49, 2018: 47, 2019: 52, 2020: 52, 2021: 49, 2022: 54, 2023: 49</t>
  </si>
  <si>
    <t>© PitchBook Data, Inc.  2025</t>
  </si>
  <si>
    <t>All data copyright PitchBook Data, Inc.</t>
  </si>
  <si>
    <t>For customized data reports and analyses, contact us at:</t>
  </si>
  <si>
    <t>support@pitchbook.com</t>
  </si>
  <si>
    <t xml:space="preserve">This document and its contents may only be used or shared as permitted in </t>
  </si>
  <si>
    <t>the PitchBook subscription agreement.</t>
  </si>
  <si>
    <t>Subject to limited exceptions, this document may not be used or stored following the termination of your agreement with PitchBook.</t>
  </si>
  <si>
    <t>If you have any further questions or concerns, please contact client services at:</t>
  </si>
  <si>
    <t>US</t>
  </si>
  <si>
    <t>+1 (206) 257-7775</t>
  </si>
  <si>
    <t>UK</t>
  </si>
  <si>
    <t>+44 (0)203 875 3504</t>
  </si>
  <si>
    <t>SG</t>
  </si>
  <si>
    <t>+65 6016 4771</t>
  </si>
  <si>
    <t>Or by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</si>
</sst>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
    <numFmt numFmtId="165" formatCode="#,##0.00;[Red]\-#,##0.00"/>
    <numFmt numFmtId="166" formatCode="#,##0.00&quot;%&quot;;[Red]\-#,##0.00&quot;%&quot;"/>
    <numFmt numFmtId="167" formatCode="#,##0.00;[Red]\(#,##0.00\)"/>
    <numFmt numFmtId="168" formatCode="#,##0;[Red]\(#,##0\)"/>
    <numFmt numFmtId="169" formatCode="0000"/>
    <numFmt numFmtId="170" formatCode="dd\-mmm\-yyyy"/>
  </numFmts>
  <fonts count="11" x14ac:knownFonts="1">
    <font>
      <sz val="11"/>
      <color theme="1"/>
      <name val="Calibri"/>
      <family val="2"/>
      <scheme val="minor"/>
    </font>
    <font>
      <b/>
      <sz val="8"/>
      <color rgb="FFFFFFFF"/>
      <name val="Open Sans"/>
      <family val="2"/>
    </font>
    <font>
      <sz val="8"/>
      <color rgb="FF000000"/>
      <name val="Open Sans"/>
      <family val="2"/>
    </font>
    <font>
      <sz val="8"/>
      <color rgb="FF26649E"/>
      <name val="Open Sans"/>
      <family val="2"/>
    </font>
    <font>
      <b/>
      <sz val="8"/>
      <color rgb="FF000000"/>
      <name val="Open Sans"/>
      <family val="2"/>
    </font>
    <font>
      <b/>
      <sz val="16"/>
      <color rgb="FF000000"/>
      <name val="Open Sans"/>
      <family val="2"/>
    </font>
    <font>
      <b/>
      <sz val="8"/>
      <color rgb="FF26649E"/>
      <name val="Open Sans"/>
      <family val="2"/>
    </font>
    <font>
      <b/>
      <sz val="14"/>
      <color rgb="FF000000"/>
      <name val="Open Sans"/>
      <family val="2"/>
    </font>
    <font>
      <i/>
      <sz val="10"/>
      <color rgb="FF000000"/>
      <name val="Open Sans"/>
      <family val="2"/>
    </font>
    <font>
      <i/>
      <sz val="10"/>
      <color rgb="FF26649E"/>
      <name val="Open Sans"/>
      <family val="2"/>
    </font>
    <font>
      <sz val="8"/>
      <color rgb="FF000000"/>
      <name val="Open Sans"/>
      <family val="2"/>
    </font>
  </fonts>
  <fills count="5">
    <fill>
      <patternFill patternType="none"/>
    </fill>
    <fill>
      <patternFill patternType="gray125"/>
    </fill>
    <fill>
      <patternFill patternType="solid">
        <fgColor rgb="FF051C38"/>
        <bgColor rgb="FF051C38"/>
      </patternFill>
    </fill>
    <fill>
      <patternFill patternType="solid">
        <fgColor rgb="FFF8F5EF"/>
        <bgColor rgb="FFF8F5EF"/>
      </patternFill>
    </fill>
    <fill>
      <patternFill patternType="solid">
        <fgColor rgb="FFFFFFFF"/>
      </patternFill>
    </fill>
  </fills>
  <borders count="2">
    <border>
      <left/>
      <right/>
      <top/>
      <bottom/>
      <diagonal/>
    </border>
    <border>
      <left/>
      <right style="thin">
        <color rgb="FFD3D3D3"/>
      </right>
      <top/>
      <bottom/>
      <diagonal/>
    </border>
  </borders>
  <cellStyleXfs count="18">
    <xf numFmtId="0" fontId="0" fillId="0" borderId="0"/>
    <xf numFmtId="0" fontId="1" fillId="0" borderId="0">
      <alignment horizontal="center" vertical="center" wrapText="1"/>
    </xf>
    <xf numFmtId="0" fontId="2" fillId="0" borderId="1">
      <alignment horizontal="left" vertical="center" indent="1"/>
    </xf>
    <xf numFmtId="0" fontId="2" fillId="0" borderId="1">
      <alignment horizontal="right" vertical="center" indent="1"/>
    </xf>
    <xf numFmtId="0" fontId="2" fillId="0" borderId="1">
      <alignment horizontal="center" vertical="center"/>
    </xf>
    <xf numFmtId="0" fontId="3" fillId="0" borderId="1">
      <alignment horizontal="left" vertical="center" indent="1"/>
    </xf>
    <xf numFmtId="0" fontId="3" fillId="0" borderId="1">
      <alignment horizontal="right" vertical="center" indent="1"/>
    </xf>
    <xf numFmtId="0" fontId="10" fillId="0" borderId="0">
      <alignment horizontal="left" vertical="center"/>
    </xf>
    <xf numFmtId="0" fontId="2" fillId="0" borderId="0">
      <alignment horizontal="right" vertical="top"/>
    </xf>
    <xf numFmtId="0" fontId="6" fillId="0" borderId="0">
      <alignment horizontal="left" vertical="top"/>
    </xf>
    <xf numFmtId="0" fontId="4" fillId="0" borderId="0">
      <alignment horizontal="left" vertical="top" wrapText="1"/>
    </xf>
    <xf numFmtId="0" fontId="5" fillId="0" borderId="0">
      <alignment horizontal="left" vertical="center"/>
    </xf>
    <xf numFmtId="0" fontId="2" fillId="0" borderId="0">
      <alignment horizontal="right" vertical="center"/>
    </xf>
    <xf numFmtId="0" fontId="4" fillId="0" borderId="0">
      <alignment horizontal="left" vertical="center"/>
    </xf>
    <xf numFmtId="0" fontId="7" fillId="0" borderId="0">
      <alignment horizontal="left" vertical="center"/>
    </xf>
    <xf numFmtId="0" fontId="8" fillId="4" borderId="0">
      <alignment horizontal="left" vertical="center"/>
    </xf>
    <xf numFmtId="0" fontId="9" fillId="4" borderId="0">
      <alignment horizontal="left" vertical="center"/>
    </xf>
    <xf numFmtId="0" fontId="8" fillId="4" borderId="0">
      <alignment horizontal="right" vertical="center"/>
    </xf>
  </cellStyleXfs>
  <cellXfs count="27">
    <xf numFmtId="0" fontId="0" fillId="0" borderId="0" xfId="0"/>
    <xf numFmtId="170" fontId="2" fillId="0" borderId="1" xfId="3" applyNumberFormat="1">
      <alignment horizontal="right" vertical="center" indent="1"/>
    </xf>
    <xf numFmtId="0" fontId="1" fillId="2" borderId="0" xfId="1" applyFill="1">
      <alignment horizontal="center" vertical="center" wrapText="1"/>
    </xf>
    <xf numFmtId="0" fontId="2" fillId="0" borderId="1" xfId="2">
      <alignment horizontal="left" vertical="center" indent="1"/>
    </xf>
    <xf numFmtId="165" fontId="2" fillId="0" borderId="1" xfId="3" applyNumberFormat="1">
      <alignment horizontal="right" vertical="center" indent="1"/>
    </xf>
    <xf numFmtId="164" fontId="2" fillId="0" borderId="1" xfId="3" applyNumberFormat="1">
      <alignment horizontal="right" vertical="center" indent="1"/>
    </xf>
    <xf numFmtId="0" fontId="2" fillId="0" borderId="1" xfId="3">
      <alignment horizontal="right" vertical="center" indent="1"/>
    </xf>
    <xf numFmtId="166" fontId="2" fillId="0" borderId="1" xfId="3" applyNumberFormat="1">
      <alignment horizontal="right" vertical="center" indent="1"/>
    </xf>
    <xf numFmtId="167" fontId="2" fillId="0" borderId="1" xfId="3" applyNumberFormat="1">
      <alignment horizontal="right" vertical="center" indent="1"/>
    </xf>
    <xf numFmtId="168" fontId="2" fillId="0" borderId="1" xfId="3" applyNumberFormat="1">
      <alignment horizontal="right" vertical="center" indent="1"/>
    </xf>
    <xf numFmtId="169" fontId="2" fillId="0" borderId="1" xfId="3" applyNumberFormat="1">
      <alignment horizontal="right" vertical="center" indent="1"/>
    </xf>
    <xf numFmtId="0" fontId="3" fillId="3" borderId="1" xfId="5" applyFill="1">
      <alignment horizontal="left" vertical="center" indent="1"/>
    </xf>
    <xf numFmtId="0" fontId="3" fillId="0" borderId="1" xfId="5">
      <alignment horizontal="left" vertical="center" indent="1"/>
    </xf>
    <xf numFmtId="0" fontId="2" fillId="3" borderId="1" xfId="2" applyFill="1">
      <alignment horizontal="left" vertical="center" indent="1"/>
    </xf>
    <xf numFmtId="170" fontId="2" fillId="3" borderId="1" xfId="3" applyNumberFormat="1" applyFill="1">
      <alignment horizontal="right" vertical="center" indent="1"/>
    </xf>
    <xf numFmtId="169" fontId="2" fillId="3" borderId="1" xfId="3" applyNumberFormat="1" applyFill="1">
      <alignment horizontal="right" vertical="center" indent="1"/>
    </xf>
    <xf numFmtId="168" fontId="2" fillId="3" borderId="1" xfId="3" applyNumberFormat="1" applyFill="1">
      <alignment horizontal="right" vertical="center" indent="1"/>
    </xf>
    <xf numFmtId="167" fontId="2" fillId="3" borderId="1" xfId="3" applyNumberFormat="1" applyFill="1">
      <alignment horizontal="right" vertical="center" indent="1"/>
    </xf>
    <xf numFmtId="0" fontId="2" fillId="3" borderId="1" xfId="3" applyFill="1">
      <alignment horizontal="right" vertical="center" indent="1"/>
    </xf>
    <xf numFmtId="165" fontId="2" fillId="3" borderId="1" xfId="3" applyNumberFormat="1" applyFill="1">
      <alignment horizontal="right" vertical="center" indent="1"/>
    </xf>
    <xf numFmtId="166" fontId="2" fillId="3" borderId="1" xfId="3" applyNumberFormat="1" applyFill="1">
      <alignment horizontal="right" vertical="center" indent="1"/>
    </xf>
    <xf numFmtId="164" fontId="2" fillId="3" borderId="1" xfId="3" applyNumberFormat="1" applyFill="1">
      <alignment horizontal="right" vertical="center" indent="1"/>
    </xf>
    <xf numFmtId="0" fontId="10" fillId="0" borderId="0" xfId="7">
      <alignment horizontal="left" vertical="center"/>
    </xf>
    <xf numFmtId="0" fontId="7" fillId="0" borderId="0" xfId="14">
      <alignment horizontal="left" vertical="center"/>
    </xf>
    <xf numFmtId="0" fontId="8" fillId="4" borderId="0" xfId="15">
      <alignment horizontal="left" vertical="center"/>
    </xf>
    <xf numFmtId="0" fontId="9" fillId="4" borderId="0" xfId="16">
      <alignment horizontal="left" vertical="center"/>
    </xf>
    <xf numFmtId="0" fontId="8" fillId="4" borderId="0" xfId="17">
      <alignment horizontal="right" vertical="center"/>
    </xf>
  </cellXfs>
  <cellStyles count="18">
    <cellStyle name="bold" xfId="13" xr:uid="{00000000-0005-0000-0000-00000E000000}"/>
    <cellStyle name="defaultStyle" xfId="7" xr:uid="{00000000-0005-0000-0000-000008000000}"/>
    <cellStyle name="fontSize10Italic" xfId="15" xr:uid="{00000000-0005-0000-0000-000010000000}"/>
    <cellStyle name="fontSize10ItalicHyperlink" xfId="16" xr:uid="{00000000-0005-0000-0000-000011000000}"/>
    <cellStyle name="fontSize10ItalicRight" xfId="17" xr:uid="{00000000-0005-0000-0000-000012000000}"/>
    <cellStyle name="fontSize14Bold" xfId="14" xr:uid="{00000000-0005-0000-0000-00000F000000}"/>
    <cellStyle name="fontSize16Bold" xfId="11" xr:uid="{00000000-0005-0000-0000-00000C000000}"/>
    <cellStyle name="horizontalCenterWrapWhiteBold" xfId="1" xr:uid="{00000000-0005-0000-0000-000001000000}"/>
    <cellStyle name="horizontalRight" xfId="12" xr:uid="{00000000-0005-0000-0000-00000D000000}"/>
    <cellStyle name="Normal" xfId="0" builtinId="0"/>
    <cellStyle name="tableCellStyleCenter" xfId="4" xr:uid="{00000000-0005-0000-0000-000004000000}"/>
    <cellStyle name="tableCellStyleLeft" xfId="2" xr:uid="{00000000-0005-0000-0000-000002000000}"/>
    <cellStyle name="tableCellStyleLeftHyperlink" xfId="5" xr:uid="{00000000-0005-0000-0000-000006000000}"/>
    <cellStyle name="tableCellStyleRight" xfId="3" xr:uid="{00000000-0005-0000-0000-000003000000}"/>
    <cellStyle name="tableCellStyleRightHyperlink" xfId="6" xr:uid="{00000000-0005-0000-0000-000007000000}"/>
    <cellStyle name="verticalTopBoldWrapBold" xfId="10" xr:uid="{00000000-0005-0000-0000-00000B000000}"/>
    <cellStyle name="verticalTopHorizontalRight" xfId="8" xr:uid="{00000000-0005-0000-0000-000009000000}"/>
    <cellStyle name="verticalTopHyperlinkBold" xfId="9"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support@pitchbook.com" TargetMode="External"/><Relationship Id="rId2" Type="http://schemas.openxmlformats.org/officeDocument/2006/relationships/hyperlink" Target="https://pitchbook.com/subscription-agreement" TargetMode="External"/><Relationship Id="rId1" Type="http://schemas.openxmlformats.org/officeDocument/2006/relationships/hyperlink" Target="support@pitchb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80"/>
  <sheetViews>
    <sheetView showGridLines="0" tabSelected="1" workbookViewId="0">
      <selection activeCell="B8" sqref="B8"/>
    </sheetView>
  </sheetViews>
  <sheetFormatPr defaultRowHeight="14.4" x14ac:dyDescent="0.3"/>
  <cols>
    <col min="1" max="1" width="21.6640625" customWidth="1"/>
    <col min="2" max="2" width="58.5546875" customWidth="1"/>
    <col min="3" max="3" width="29.5546875" customWidth="1"/>
    <col min="4" max="4" width="24.109375" customWidth="1"/>
    <col min="5" max="5" width="29.5546875" customWidth="1"/>
    <col min="6" max="6" width="34.88671875" customWidth="1"/>
    <col min="7" max="7" width="29.5546875" customWidth="1"/>
    <col min="8" max="8" width="38.33203125" customWidth="1"/>
    <col min="9" max="9" width="20.33203125" customWidth="1"/>
    <col min="10" max="10" width="28.88671875" customWidth="1"/>
    <col min="11" max="11" width="18.6640625" customWidth="1"/>
    <col min="12" max="12" width="20.33203125" customWidth="1"/>
    <col min="13" max="13" width="23.109375" customWidth="1"/>
    <col min="14" max="14" width="19.5546875" customWidth="1"/>
    <col min="15" max="15" width="15.88671875" customWidth="1"/>
    <col min="16" max="16" width="20.33203125" customWidth="1"/>
    <col min="17" max="17" width="15.88671875" customWidth="1"/>
    <col min="18" max="18" width="19.5546875" customWidth="1"/>
    <col min="19" max="19" width="27.109375" customWidth="1"/>
    <col min="20" max="20" width="22.6640625" customWidth="1"/>
    <col min="21" max="21" width="27.5546875" customWidth="1"/>
    <col min="22" max="22" width="28" customWidth="1"/>
    <col min="23" max="23" width="28.6640625" customWidth="1"/>
    <col min="24" max="24" width="23.88671875" customWidth="1"/>
    <col min="25" max="26" width="24.44140625" customWidth="1"/>
    <col min="27" max="27" width="16.5546875" customWidth="1"/>
    <col min="28" max="28" width="24.5546875" customWidth="1"/>
    <col min="29" max="29" width="20.44140625" customWidth="1"/>
    <col min="30" max="30" width="27.44140625" customWidth="1"/>
    <col min="31" max="31" width="17.109375" customWidth="1"/>
    <col min="32" max="32" width="15.109375" customWidth="1"/>
    <col min="33" max="33" width="24.6640625" customWidth="1"/>
    <col min="34" max="34" width="23.88671875" customWidth="1"/>
    <col min="35" max="35" width="27.5546875" customWidth="1"/>
    <col min="36" max="36" width="31" customWidth="1"/>
    <col min="37" max="38" width="30" customWidth="1"/>
    <col min="39" max="39" width="25.33203125" customWidth="1"/>
    <col min="40" max="40" width="23.88671875" customWidth="1"/>
    <col min="41" max="41" width="31.33203125" customWidth="1"/>
    <col min="42" max="42" width="15.109375" customWidth="1"/>
    <col min="43" max="43" width="39.6640625" customWidth="1"/>
    <col min="44" max="45" width="31.33203125" customWidth="1"/>
    <col min="46" max="46" width="29.88671875" customWidth="1"/>
    <col min="47" max="47" width="34" customWidth="1"/>
    <col min="48" max="48" width="29.109375" customWidth="1"/>
    <col min="49" max="50" width="29.5546875" customWidth="1"/>
    <col min="51" max="51" width="31.88671875" customWidth="1"/>
    <col min="52" max="52" width="23.33203125" customWidth="1"/>
    <col min="53" max="53" width="22.109375" customWidth="1"/>
    <col min="54" max="54" width="24" customWidth="1"/>
    <col min="55" max="55" width="26.6640625" customWidth="1"/>
    <col min="56" max="56" width="29" customWidth="1"/>
    <col min="57" max="57" width="29.5546875" customWidth="1"/>
    <col min="58" max="58" width="18.6640625" customWidth="1"/>
    <col min="59" max="60" width="21.6640625" customWidth="1"/>
    <col min="61" max="61" width="15.109375" customWidth="1"/>
    <col min="62" max="62" width="20.6640625" customWidth="1"/>
    <col min="63" max="63" width="23" customWidth="1"/>
    <col min="64" max="64" width="25.88671875" customWidth="1"/>
    <col min="65" max="66" width="27.44140625" customWidth="1"/>
    <col min="67" max="67" width="18.6640625" customWidth="1"/>
  </cols>
  <sheetData>
    <row r="1" spans="1:67" ht="34.950000000000003" customHeigh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row>
    <row r="2" spans="1:67" x14ac:dyDescent="0.3">
      <c r="A2" s="13" t="s">
        <v>67</v>
      </c>
      <c r="B2" s="13" t="s">
        <v>68</v>
      </c>
      <c r="C2" s="13" t="s">
        <v>69</v>
      </c>
      <c r="D2" s="21" t="s">
        <v>69</v>
      </c>
      <c r="E2" s="13" t="s">
        <v>69</v>
      </c>
      <c r="F2" s="13" t="s">
        <v>69</v>
      </c>
      <c r="G2" s="13" t="s">
        <v>69</v>
      </c>
      <c r="H2" s="13" t="s">
        <v>69</v>
      </c>
      <c r="I2" s="19">
        <v>35548.31</v>
      </c>
      <c r="J2" s="20">
        <v>11.61</v>
      </c>
      <c r="K2" s="19" t="s">
        <v>69</v>
      </c>
      <c r="L2" s="19" t="s">
        <v>69</v>
      </c>
      <c r="M2" s="19" t="s">
        <v>69</v>
      </c>
      <c r="N2" s="19" t="s">
        <v>69</v>
      </c>
      <c r="O2" s="19" t="s">
        <v>69</v>
      </c>
      <c r="P2" s="19" t="s">
        <v>69</v>
      </c>
      <c r="Q2" s="19" t="s">
        <v>69</v>
      </c>
      <c r="R2" s="18" t="s">
        <v>70</v>
      </c>
      <c r="S2" s="13" t="s">
        <v>71</v>
      </c>
      <c r="T2" s="13" t="s">
        <v>72</v>
      </c>
      <c r="U2" s="13" t="s">
        <v>73</v>
      </c>
      <c r="V2" s="13" t="s">
        <v>74</v>
      </c>
      <c r="W2" s="13" t="s">
        <v>75</v>
      </c>
      <c r="X2" s="13" t="s">
        <v>76</v>
      </c>
      <c r="Y2" s="13" t="s">
        <v>77</v>
      </c>
      <c r="Z2" s="13" t="s">
        <v>69</v>
      </c>
      <c r="AA2" s="13" t="s">
        <v>78</v>
      </c>
      <c r="AB2" s="13" t="s">
        <v>79</v>
      </c>
      <c r="AC2" s="18" t="s">
        <v>80</v>
      </c>
      <c r="AD2" s="13" t="s">
        <v>81</v>
      </c>
      <c r="AE2" s="18" t="s">
        <v>75</v>
      </c>
      <c r="AF2" s="18" t="s">
        <v>69</v>
      </c>
      <c r="AG2" s="13" t="s">
        <v>82</v>
      </c>
      <c r="AH2" s="13" t="s">
        <v>83</v>
      </c>
      <c r="AI2" s="13" t="s">
        <v>84</v>
      </c>
      <c r="AJ2" s="13" t="s">
        <v>69</v>
      </c>
      <c r="AK2" s="13" t="s">
        <v>85</v>
      </c>
      <c r="AL2" s="13" t="s">
        <v>86</v>
      </c>
      <c r="AM2" s="13" t="s">
        <v>87</v>
      </c>
      <c r="AN2" s="13" t="s">
        <v>88</v>
      </c>
      <c r="AO2" s="13" t="s">
        <v>69</v>
      </c>
      <c r="AP2" s="13" t="s">
        <v>67</v>
      </c>
      <c r="AQ2" s="13" t="s">
        <v>89</v>
      </c>
      <c r="AR2" s="13" t="s">
        <v>90</v>
      </c>
      <c r="AS2" s="13" t="s">
        <v>91</v>
      </c>
      <c r="AT2" s="13" t="s">
        <v>92</v>
      </c>
      <c r="AU2" s="13" t="s">
        <v>93</v>
      </c>
      <c r="AV2" s="13" t="s">
        <v>94</v>
      </c>
      <c r="AW2" s="13" t="s">
        <v>95</v>
      </c>
      <c r="AX2" s="13" t="s">
        <v>69</v>
      </c>
      <c r="AY2" s="13" t="s">
        <v>96</v>
      </c>
      <c r="AZ2" s="17" t="s">
        <v>69</v>
      </c>
      <c r="BA2" s="13" t="s">
        <v>97</v>
      </c>
      <c r="BB2" s="13" t="s">
        <v>98</v>
      </c>
      <c r="BC2" s="13" t="s">
        <v>99</v>
      </c>
      <c r="BD2" s="11" t="str">
        <f>HYPERLINK("http://consumer.huawei.com/cn","consumer.huawei.com/cn")</f>
        <v>consumer.huawei.com/cn</v>
      </c>
      <c r="BE2" s="11" t="str">
        <f>HYPERLINK("http://www.linkedin.com/company/huawei-consumer-business-group","http://www.linkedin.com/company/huawei-consumer-business-group")</f>
        <v>http://www.linkedin.com/company/huawei-consumer-business-group</v>
      </c>
      <c r="BF2" s="16">
        <v>195000</v>
      </c>
      <c r="BG2" s="13" t="s">
        <v>100</v>
      </c>
      <c r="BH2" s="13" t="s">
        <v>69</v>
      </c>
      <c r="BI2" s="13" t="s">
        <v>69</v>
      </c>
      <c r="BJ2" s="15">
        <v>2012</v>
      </c>
      <c r="BK2" s="13" t="s">
        <v>101</v>
      </c>
      <c r="BL2" s="14">
        <v>45610</v>
      </c>
      <c r="BM2" s="13" t="s">
        <v>69</v>
      </c>
      <c r="BN2" s="13" t="s">
        <v>69</v>
      </c>
      <c r="BO2" s="11" t="str">
        <f>HYPERLINK("https://my.pitchbook.com?c=226972-36","View Company Online")</f>
        <v>View Company Online</v>
      </c>
    </row>
    <row r="3" spans="1:67" x14ac:dyDescent="0.3">
      <c r="A3" s="3" t="s">
        <v>102</v>
      </c>
      <c r="B3" s="3" t="s">
        <v>103</v>
      </c>
      <c r="C3" s="3" t="s">
        <v>69</v>
      </c>
      <c r="D3" s="5" t="s">
        <v>69</v>
      </c>
      <c r="E3" s="3" t="s">
        <v>69</v>
      </c>
      <c r="F3" s="3" t="s">
        <v>69</v>
      </c>
      <c r="G3" s="3" t="s">
        <v>69</v>
      </c>
      <c r="H3" s="3" t="s">
        <v>69</v>
      </c>
      <c r="I3" s="4">
        <v>19311.07</v>
      </c>
      <c r="J3" s="7">
        <v>14.63</v>
      </c>
      <c r="K3" s="4">
        <v>15698.73</v>
      </c>
      <c r="L3" s="4">
        <v>4628.46</v>
      </c>
      <c r="M3" s="4" t="s">
        <v>69</v>
      </c>
      <c r="N3" s="4">
        <v>6827.18</v>
      </c>
      <c r="O3" s="4">
        <v>6354.28</v>
      </c>
      <c r="P3" s="4" t="s">
        <v>69</v>
      </c>
      <c r="Q3" s="4">
        <v>2333.3000000000002</v>
      </c>
      <c r="R3" s="6" t="s">
        <v>70</v>
      </c>
      <c r="S3" s="3" t="s">
        <v>104</v>
      </c>
      <c r="T3" s="3" t="s">
        <v>105</v>
      </c>
      <c r="U3" s="3" t="s">
        <v>106</v>
      </c>
      <c r="V3" s="3" t="s">
        <v>69</v>
      </c>
      <c r="W3" s="3" t="s">
        <v>69</v>
      </c>
      <c r="X3" s="3" t="s">
        <v>107</v>
      </c>
      <c r="Y3" s="3" t="s">
        <v>108</v>
      </c>
      <c r="Z3" s="3" t="s">
        <v>69</v>
      </c>
      <c r="AA3" s="3" t="s">
        <v>109</v>
      </c>
      <c r="AB3" s="3" t="s">
        <v>110</v>
      </c>
      <c r="AC3" s="6" t="s">
        <v>111</v>
      </c>
      <c r="AD3" s="3" t="s">
        <v>112</v>
      </c>
      <c r="AE3" s="6" t="s">
        <v>69</v>
      </c>
      <c r="AF3" s="6" t="s">
        <v>69</v>
      </c>
      <c r="AG3" s="3" t="s">
        <v>69</v>
      </c>
      <c r="AH3" s="3" t="s">
        <v>113</v>
      </c>
      <c r="AI3" s="3" t="s">
        <v>114</v>
      </c>
      <c r="AJ3" s="3" t="s">
        <v>115</v>
      </c>
      <c r="AK3" s="3" t="s">
        <v>69</v>
      </c>
      <c r="AL3" s="3" t="s">
        <v>116</v>
      </c>
      <c r="AM3" s="3" t="s">
        <v>117</v>
      </c>
      <c r="AN3" s="3" t="s">
        <v>118</v>
      </c>
      <c r="AO3" s="3" t="s">
        <v>119</v>
      </c>
      <c r="AP3" s="3" t="s">
        <v>102</v>
      </c>
      <c r="AQ3" s="3" t="s">
        <v>120</v>
      </c>
      <c r="AR3" s="3" t="s">
        <v>90</v>
      </c>
      <c r="AS3" s="3" t="s">
        <v>121</v>
      </c>
      <c r="AT3" s="3" t="s">
        <v>122</v>
      </c>
      <c r="AU3" s="3" t="s">
        <v>123</v>
      </c>
      <c r="AV3" s="3" t="s">
        <v>124</v>
      </c>
      <c r="AW3" s="3" t="s">
        <v>125</v>
      </c>
      <c r="AX3" s="3" t="s">
        <v>69</v>
      </c>
      <c r="AY3" s="3" t="s">
        <v>96</v>
      </c>
      <c r="AZ3" s="8" t="s">
        <v>69</v>
      </c>
      <c r="BA3" s="3" t="s">
        <v>126</v>
      </c>
      <c r="BB3" s="3" t="s">
        <v>98</v>
      </c>
      <c r="BC3" s="3" t="s">
        <v>99</v>
      </c>
      <c r="BD3" s="12" t="str">
        <f>HYPERLINK("http://www.chanel.com","www.chanel.com")</f>
        <v>www.chanel.com</v>
      </c>
      <c r="BE3" s="12" t="str">
        <f>HYPERLINK("http://www.linkedin.com/company/chanel","http://www.linkedin.com/company/chanel")</f>
        <v>http://www.linkedin.com/company/chanel</v>
      </c>
      <c r="BF3" s="9">
        <v>25941</v>
      </c>
      <c r="BG3" s="3" t="s">
        <v>127</v>
      </c>
      <c r="BH3" s="3" t="s">
        <v>69</v>
      </c>
      <c r="BI3" s="3" t="s">
        <v>69</v>
      </c>
      <c r="BJ3" s="10">
        <v>1910</v>
      </c>
      <c r="BK3" s="3" t="s">
        <v>69</v>
      </c>
      <c r="BL3" s="1">
        <v>45765</v>
      </c>
      <c r="BM3" s="3" t="s">
        <v>69</v>
      </c>
      <c r="BN3" s="3" t="s">
        <v>128</v>
      </c>
      <c r="BO3" s="12" t="str">
        <f>HYPERLINK("https://my.pitchbook.com?c=66417-67","View Company Online")</f>
        <v>View Company Online</v>
      </c>
    </row>
    <row r="4" spans="1:67" x14ac:dyDescent="0.3">
      <c r="A4" s="13" t="s">
        <v>129</v>
      </c>
      <c r="B4" s="13" t="s">
        <v>130</v>
      </c>
      <c r="C4" s="13" t="s">
        <v>69</v>
      </c>
      <c r="D4" s="21" t="s">
        <v>69</v>
      </c>
      <c r="E4" s="13" t="s">
        <v>69</v>
      </c>
      <c r="F4" s="13" t="s">
        <v>69</v>
      </c>
      <c r="G4" s="13" t="s">
        <v>69</v>
      </c>
      <c r="H4" s="13" t="s">
        <v>69</v>
      </c>
      <c r="I4" s="19">
        <v>12314.02</v>
      </c>
      <c r="J4" s="20">
        <v>9.92</v>
      </c>
      <c r="K4" s="19" t="s">
        <v>69</v>
      </c>
      <c r="L4" s="19">
        <v>7650.27</v>
      </c>
      <c r="M4" s="19" t="s">
        <v>69</v>
      </c>
      <c r="N4" s="19">
        <v>5489.37</v>
      </c>
      <c r="O4" s="19">
        <v>5380.08</v>
      </c>
      <c r="P4" s="19" t="s">
        <v>69</v>
      </c>
      <c r="Q4" s="19">
        <v>0</v>
      </c>
      <c r="R4" s="18" t="s">
        <v>70</v>
      </c>
      <c r="S4" s="13" t="s">
        <v>131</v>
      </c>
      <c r="T4" s="13" t="s">
        <v>132</v>
      </c>
      <c r="U4" s="13" t="s">
        <v>133</v>
      </c>
      <c r="V4" s="13" t="s">
        <v>134</v>
      </c>
      <c r="W4" s="13" t="s">
        <v>69</v>
      </c>
      <c r="X4" s="13" t="s">
        <v>135</v>
      </c>
      <c r="Y4" s="13" t="s">
        <v>136</v>
      </c>
      <c r="Z4" s="13" t="s">
        <v>69</v>
      </c>
      <c r="AA4" s="13" t="s">
        <v>137</v>
      </c>
      <c r="AB4" s="13" t="s">
        <v>69</v>
      </c>
      <c r="AC4" s="18" t="s">
        <v>138</v>
      </c>
      <c r="AD4" s="13" t="s">
        <v>139</v>
      </c>
      <c r="AE4" s="18" t="s">
        <v>69</v>
      </c>
      <c r="AF4" s="18" t="s">
        <v>69</v>
      </c>
      <c r="AG4" s="13" t="s">
        <v>69</v>
      </c>
      <c r="AH4" s="13" t="s">
        <v>113</v>
      </c>
      <c r="AI4" s="13" t="s">
        <v>114</v>
      </c>
      <c r="AJ4" s="13" t="s">
        <v>69</v>
      </c>
      <c r="AK4" s="13" t="s">
        <v>69</v>
      </c>
      <c r="AL4" s="13" t="s">
        <v>140</v>
      </c>
      <c r="AM4" s="13" t="s">
        <v>141</v>
      </c>
      <c r="AN4" s="13" t="s">
        <v>142</v>
      </c>
      <c r="AO4" s="13" t="s">
        <v>143</v>
      </c>
      <c r="AP4" s="13" t="s">
        <v>129</v>
      </c>
      <c r="AQ4" s="13" t="s">
        <v>144</v>
      </c>
      <c r="AR4" s="13" t="s">
        <v>90</v>
      </c>
      <c r="AS4" s="13" t="s">
        <v>121</v>
      </c>
      <c r="AT4" s="13" t="s">
        <v>145</v>
      </c>
      <c r="AU4" s="13" t="s">
        <v>146</v>
      </c>
      <c r="AV4" s="13" t="s">
        <v>69</v>
      </c>
      <c r="AW4" s="13" t="s">
        <v>147</v>
      </c>
      <c r="AX4" s="13" t="s">
        <v>69</v>
      </c>
      <c r="AY4" s="13" t="s">
        <v>96</v>
      </c>
      <c r="AZ4" s="17" t="s">
        <v>69</v>
      </c>
      <c r="BA4" s="13" t="s">
        <v>126</v>
      </c>
      <c r="BB4" s="13" t="s">
        <v>98</v>
      </c>
      <c r="BC4" s="13" t="s">
        <v>99</v>
      </c>
      <c r="BD4" s="11" t="str">
        <f>HYPERLINK("http://fr.louisvuitton.com","fr.louisvuitton.com")</f>
        <v>fr.louisvuitton.com</v>
      </c>
      <c r="BE4" s="13" t="s">
        <v>69</v>
      </c>
      <c r="BF4" s="16">
        <v>25000</v>
      </c>
      <c r="BG4" s="13" t="s">
        <v>148</v>
      </c>
      <c r="BH4" s="13" t="s">
        <v>69</v>
      </c>
      <c r="BI4" s="13" t="s">
        <v>69</v>
      </c>
      <c r="BJ4" s="15">
        <v>1853</v>
      </c>
      <c r="BK4" s="13" t="s">
        <v>149</v>
      </c>
      <c r="BL4" s="14">
        <v>45678</v>
      </c>
      <c r="BM4" s="13" t="s">
        <v>69</v>
      </c>
      <c r="BN4" s="13" t="s">
        <v>69</v>
      </c>
      <c r="BO4" s="11" t="str">
        <f>HYPERLINK("https://my.pitchbook.com?c=109224-01","View Company Online")</f>
        <v>View Company Online</v>
      </c>
    </row>
    <row r="5" spans="1:67" x14ac:dyDescent="0.3">
      <c r="A5" s="3" t="s">
        <v>150</v>
      </c>
      <c r="B5" s="3" t="s">
        <v>151</v>
      </c>
      <c r="C5" s="3" t="s">
        <v>69</v>
      </c>
      <c r="D5" s="5" t="s">
        <v>69</v>
      </c>
      <c r="E5" s="3" t="s">
        <v>69</v>
      </c>
      <c r="F5" s="3" t="s">
        <v>69</v>
      </c>
      <c r="G5" s="3" t="s">
        <v>69</v>
      </c>
      <c r="H5" s="3" t="s">
        <v>69</v>
      </c>
      <c r="I5" s="4">
        <v>12038.48</v>
      </c>
      <c r="J5" s="7" t="s">
        <v>69</v>
      </c>
      <c r="K5" s="4" t="s">
        <v>69</v>
      </c>
      <c r="L5" s="4" t="s">
        <v>69</v>
      </c>
      <c r="M5" s="4" t="s">
        <v>69</v>
      </c>
      <c r="N5" s="4" t="s">
        <v>69</v>
      </c>
      <c r="O5" s="4" t="s">
        <v>69</v>
      </c>
      <c r="P5" s="4" t="s">
        <v>69</v>
      </c>
      <c r="Q5" s="4" t="s">
        <v>69</v>
      </c>
      <c r="R5" s="6" t="s">
        <v>152</v>
      </c>
      <c r="S5" s="3" t="s">
        <v>153</v>
      </c>
      <c r="T5" s="3" t="s">
        <v>154</v>
      </c>
      <c r="U5" s="3" t="s">
        <v>155</v>
      </c>
      <c r="V5" s="3" t="s">
        <v>69</v>
      </c>
      <c r="W5" s="3" t="s">
        <v>156</v>
      </c>
      <c r="X5" s="3" t="s">
        <v>157</v>
      </c>
      <c r="Y5" s="3" t="s">
        <v>158</v>
      </c>
      <c r="Z5" s="3" t="s">
        <v>69</v>
      </c>
      <c r="AA5" s="3" t="s">
        <v>159</v>
      </c>
      <c r="AB5" s="3" t="s">
        <v>69</v>
      </c>
      <c r="AC5" s="6" t="s">
        <v>160</v>
      </c>
      <c r="AD5" s="3" t="s">
        <v>161</v>
      </c>
      <c r="AE5" s="6" t="s">
        <v>156</v>
      </c>
      <c r="AF5" s="6" t="s">
        <v>69</v>
      </c>
      <c r="AG5" s="3" t="s">
        <v>162</v>
      </c>
      <c r="AH5" s="3" t="s">
        <v>113</v>
      </c>
      <c r="AI5" s="3" t="s">
        <v>114</v>
      </c>
      <c r="AJ5" s="3" t="s">
        <v>69</v>
      </c>
      <c r="AK5" s="3" t="s">
        <v>69</v>
      </c>
      <c r="AL5" s="3" t="s">
        <v>163</v>
      </c>
      <c r="AM5" s="3" t="s">
        <v>69</v>
      </c>
      <c r="AN5" s="3" t="s">
        <v>69</v>
      </c>
      <c r="AO5" s="3" t="s">
        <v>164</v>
      </c>
      <c r="AP5" s="3" t="s">
        <v>150</v>
      </c>
      <c r="AQ5" s="3" t="s">
        <v>165</v>
      </c>
      <c r="AR5" s="3" t="s">
        <v>90</v>
      </c>
      <c r="AS5" s="3" t="s">
        <v>121</v>
      </c>
      <c r="AT5" s="3" t="s">
        <v>166</v>
      </c>
      <c r="AU5" s="3" t="s">
        <v>167</v>
      </c>
      <c r="AV5" s="3" t="s">
        <v>69</v>
      </c>
      <c r="AW5" s="3" t="s">
        <v>168</v>
      </c>
      <c r="AX5" s="3" t="s">
        <v>69</v>
      </c>
      <c r="AY5" s="3" t="s">
        <v>96</v>
      </c>
      <c r="AZ5" s="8" t="s">
        <v>69</v>
      </c>
      <c r="BA5" s="3" t="s">
        <v>126</v>
      </c>
      <c r="BB5" s="3" t="s">
        <v>98</v>
      </c>
      <c r="BC5" s="3" t="s">
        <v>99</v>
      </c>
      <c r="BD5" s="12" t="str">
        <f>HYPERLINK("http://www.rolex.com","www.rolex.com")</f>
        <v>www.rolex.com</v>
      </c>
      <c r="BE5" s="12" t="str">
        <f>HYPERLINK("http://www.linkedin.com/company/rolex","http://www.linkedin.com/company/rolex")</f>
        <v>http://www.linkedin.com/company/rolex</v>
      </c>
      <c r="BF5" s="9">
        <v>14000</v>
      </c>
      <c r="BG5" s="3" t="s">
        <v>169</v>
      </c>
      <c r="BH5" s="3" t="s">
        <v>69</v>
      </c>
      <c r="BI5" s="3" t="s">
        <v>69</v>
      </c>
      <c r="BJ5" s="10">
        <v>1905</v>
      </c>
      <c r="BK5" s="3" t="s">
        <v>69</v>
      </c>
      <c r="BL5" s="1">
        <v>45686</v>
      </c>
      <c r="BM5" s="3" t="s">
        <v>69</v>
      </c>
      <c r="BN5" s="3" t="s">
        <v>128</v>
      </c>
      <c r="BO5" s="12" t="str">
        <f>HYPERLINK("https://my.pitchbook.com?c=466825-06","View Company Online")</f>
        <v>View Company Online</v>
      </c>
    </row>
    <row r="6" spans="1:67" x14ac:dyDescent="0.3">
      <c r="A6" s="13" t="s">
        <v>170</v>
      </c>
      <c r="B6" s="13" t="s">
        <v>171</v>
      </c>
      <c r="C6" s="13" t="s">
        <v>69</v>
      </c>
      <c r="D6" s="21" t="s">
        <v>69</v>
      </c>
      <c r="E6" s="13" t="s">
        <v>69</v>
      </c>
      <c r="F6" s="13" t="s">
        <v>69</v>
      </c>
      <c r="G6" s="13" t="s">
        <v>69</v>
      </c>
      <c r="H6" s="13" t="s">
        <v>69</v>
      </c>
      <c r="I6" s="19">
        <v>10300</v>
      </c>
      <c r="J6" s="20">
        <v>-24.82</v>
      </c>
      <c r="K6" s="19" t="s">
        <v>69</v>
      </c>
      <c r="L6" s="19" t="s">
        <v>69</v>
      </c>
      <c r="M6" s="19" t="s">
        <v>69</v>
      </c>
      <c r="N6" s="19" t="s">
        <v>69</v>
      </c>
      <c r="O6" s="19" t="s">
        <v>69</v>
      </c>
      <c r="P6" s="19" t="s">
        <v>69</v>
      </c>
      <c r="Q6" s="19" t="s">
        <v>69</v>
      </c>
      <c r="R6" s="18" t="s">
        <v>70</v>
      </c>
      <c r="S6" s="13" t="s">
        <v>69</v>
      </c>
      <c r="T6" s="13" t="s">
        <v>69</v>
      </c>
      <c r="U6" s="13" t="s">
        <v>69</v>
      </c>
      <c r="V6" s="13" t="s">
        <v>69</v>
      </c>
      <c r="W6" s="13" t="s">
        <v>69</v>
      </c>
      <c r="X6" s="13" t="s">
        <v>172</v>
      </c>
      <c r="Y6" s="13" t="s">
        <v>173</v>
      </c>
      <c r="Z6" s="13" t="s">
        <v>69</v>
      </c>
      <c r="AA6" s="13" t="s">
        <v>174</v>
      </c>
      <c r="AB6" s="13" t="s">
        <v>175</v>
      </c>
      <c r="AC6" s="18" t="s">
        <v>176</v>
      </c>
      <c r="AD6" s="13" t="s">
        <v>177</v>
      </c>
      <c r="AE6" s="18" t="s">
        <v>69</v>
      </c>
      <c r="AF6" s="18" t="s">
        <v>69</v>
      </c>
      <c r="AG6" s="13" t="s">
        <v>69</v>
      </c>
      <c r="AH6" s="13" t="s">
        <v>178</v>
      </c>
      <c r="AI6" s="13" t="s">
        <v>179</v>
      </c>
      <c r="AJ6" s="13" t="s">
        <v>69</v>
      </c>
      <c r="AK6" s="13" t="s">
        <v>69</v>
      </c>
      <c r="AL6" s="13" t="s">
        <v>69</v>
      </c>
      <c r="AM6" s="13" t="s">
        <v>69</v>
      </c>
      <c r="AN6" s="13" t="s">
        <v>69</v>
      </c>
      <c r="AO6" s="13" t="s">
        <v>180</v>
      </c>
      <c r="AP6" s="13" t="s">
        <v>170</v>
      </c>
      <c r="AQ6" s="13" t="s">
        <v>181</v>
      </c>
      <c r="AR6" s="13" t="s">
        <v>182</v>
      </c>
      <c r="AS6" s="13" t="s">
        <v>183</v>
      </c>
      <c r="AT6" s="13" t="s">
        <v>184</v>
      </c>
      <c r="AU6" s="13" t="s">
        <v>185</v>
      </c>
      <c r="AV6" s="13" t="s">
        <v>69</v>
      </c>
      <c r="AW6" s="13" t="s">
        <v>186</v>
      </c>
      <c r="AX6" s="13" t="s">
        <v>69</v>
      </c>
      <c r="AY6" s="13" t="s">
        <v>96</v>
      </c>
      <c r="AZ6" s="17" t="s">
        <v>69</v>
      </c>
      <c r="BA6" s="13" t="s">
        <v>69</v>
      </c>
      <c r="BB6" s="13" t="s">
        <v>98</v>
      </c>
      <c r="BC6" s="13" t="s">
        <v>99</v>
      </c>
      <c r="BD6" s="11" t="str">
        <f>HYPERLINK("http://bhhscalifornia.com","bhhscalifornia.com")</f>
        <v>bhhscalifornia.com</v>
      </c>
      <c r="BE6" s="11" t="str">
        <f>HYPERLINK("http://www.linkedin.com/company/berkshire-hathaway-homeservices-california-properties","http://www.linkedin.com/company/berkshire-hathaway-homeservices-california-properties")</f>
        <v>http://www.linkedin.com/company/berkshire-hathaway-homeservices-california-properties</v>
      </c>
      <c r="BF6" s="16">
        <v>8</v>
      </c>
      <c r="BG6" s="13" t="s">
        <v>187</v>
      </c>
      <c r="BH6" s="13" t="s">
        <v>69</v>
      </c>
      <c r="BI6" s="13" t="s">
        <v>69</v>
      </c>
      <c r="BJ6" s="15">
        <v>1985</v>
      </c>
      <c r="BK6" s="13" t="s">
        <v>69</v>
      </c>
      <c r="BL6" s="14">
        <v>45632</v>
      </c>
      <c r="BM6" s="13" t="s">
        <v>69</v>
      </c>
      <c r="BN6" s="13" t="s">
        <v>69</v>
      </c>
      <c r="BO6" s="11" t="str">
        <f>HYPERLINK("https://my.pitchbook.com?c=142735-33","View Company Online")</f>
        <v>View Company Online</v>
      </c>
    </row>
    <row r="7" spans="1:67" x14ac:dyDescent="0.3">
      <c r="A7" s="3" t="s">
        <v>188</v>
      </c>
      <c r="B7" s="3" t="s">
        <v>189</v>
      </c>
      <c r="C7" s="3" t="s">
        <v>69</v>
      </c>
      <c r="D7" s="5" t="s">
        <v>69</v>
      </c>
      <c r="E7" s="3" t="s">
        <v>69</v>
      </c>
      <c r="F7" s="3" t="s">
        <v>69</v>
      </c>
      <c r="G7" s="3" t="s">
        <v>69</v>
      </c>
      <c r="H7" s="3" t="s">
        <v>69</v>
      </c>
      <c r="I7" s="4">
        <v>7654.65</v>
      </c>
      <c r="J7" s="7" t="s">
        <v>69</v>
      </c>
      <c r="K7" s="4" t="s">
        <v>69</v>
      </c>
      <c r="L7" s="4">
        <v>248.72</v>
      </c>
      <c r="M7" s="4" t="s">
        <v>69</v>
      </c>
      <c r="N7" s="4" t="s">
        <v>69</v>
      </c>
      <c r="O7" s="4" t="s">
        <v>69</v>
      </c>
      <c r="P7" s="4" t="s">
        <v>69</v>
      </c>
      <c r="Q7" s="4" t="s">
        <v>69</v>
      </c>
      <c r="R7" s="6" t="s">
        <v>152</v>
      </c>
      <c r="S7" s="3" t="s">
        <v>190</v>
      </c>
      <c r="T7" s="3" t="s">
        <v>191</v>
      </c>
      <c r="U7" s="3" t="s">
        <v>73</v>
      </c>
      <c r="V7" s="3" t="s">
        <v>192</v>
      </c>
      <c r="W7" s="3" t="s">
        <v>193</v>
      </c>
      <c r="X7" s="3" t="s">
        <v>194</v>
      </c>
      <c r="Y7" s="3" t="s">
        <v>195</v>
      </c>
      <c r="Z7" s="3" t="s">
        <v>69</v>
      </c>
      <c r="AA7" s="3" t="s">
        <v>196</v>
      </c>
      <c r="AB7" s="3" t="s">
        <v>69</v>
      </c>
      <c r="AC7" s="6" t="s">
        <v>197</v>
      </c>
      <c r="AD7" s="3" t="s">
        <v>161</v>
      </c>
      <c r="AE7" s="6" t="s">
        <v>69</v>
      </c>
      <c r="AF7" s="6" t="s">
        <v>69</v>
      </c>
      <c r="AG7" s="3" t="s">
        <v>69</v>
      </c>
      <c r="AH7" s="3" t="s">
        <v>113</v>
      </c>
      <c r="AI7" s="3" t="s">
        <v>114</v>
      </c>
      <c r="AJ7" s="3" t="s">
        <v>69</v>
      </c>
      <c r="AK7" s="3" t="s">
        <v>69</v>
      </c>
      <c r="AL7" s="3" t="s">
        <v>198</v>
      </c>
      <c r="AM7" s="3" t="s">
        <v>69</v>
      </c>
      <c r="AN7" s="3" t="s">
        <v>69</v>
      </c>
      <c r="AO7" s="3" t="s">
        <v>199</v>
      </c>
      <c r="AP7" s="3" t="s">
        <v>188</v>
      </c>
      <c r="AQ7" s="3" t="s">
        <v>200</v>
      </c>
      <c r="AR7" s="3" t="s">
        <v>90</v>
      </c>
      <c r="AS7" s="3" t="s">
        <v>121</v>
      </c>
      <c r="AT7" s="3" t="s">
        <v>166</v>
      </c>
      <c r="AU7" s="3" t="s">
        <v>167</v>
      </c>
      <c r="AV7" s="3" t="s">
        <v>201</v>
      </c>
      <c r="AW7" s="3" t="s">
        <v>202</v>
      </c>
      <c r="AX7" s="3" t="s">
        <v>69</v>
      </c>
      <c r="AY7" s="3" t="s">
        <v>96</v>
      </c>
      <c r="AZ7" s="8" t="s">
        <v>69</v>
      </c>
      <c r="BA7" s="3" t="s">
        <v>126</v>
      </c>
      <c r="BB7" s="3" t="s">
        <v>98</v>
      </c>
      <c r="BC7" s="3" t="s">
        <v>99</v>
      </c>
      <c r="BD7" s="12" t="str">
        <f>HYPERLINK("http://www.swatch.com","www.swatch.com")</f>
        <v>www.swatch.com</v>
      </c>
      <c r="BE7" s="12" t="str">
        <f>HYPERLINK("http://www.linkedin.com/company/swatch-ltd-","http://www.linkedin.com/company/swatch-ltd-")</f>
        <v>http://www.linkedin.com/company/swatch-ltd-</v>
      </c>
      <c r="BF7" s="9">
        <v>32000</v>
      </c>
      <c r="BG7" s="3" t="s">
        <v>203</v>
      </c>
      <c r="BH7" s="3" t="s">
        <v>69</v>
      </c>
      <c r="BI7" s="3" t="s">
        <v>69</v>
      </c>
      <c r="BJ7" s="10">
        <v>1983</v>
      </c>
      <c r="BK7" s="3" t="s">
        <v>69</v>
      </c>
      <c r="BL7" s="1">
        <v>45682</v>
      </c>
      <c r="BM7" s="3" t="s">
        <v>69</v>
      </c>
      <c r="BN7" s="3" t="s">
        <v>69</v>
      </c>
      <c r="BO7" s="12" t="str">
        <f>HYPERLINK("https://my.pitchbook.com?c=89830-63","View Company Online")</f>
        <v>View Company Online</v>
      </c>
    </row>
    <row r="8" spans="1:67" x14ac:dyDescent="0.3">
      <c r="A8" s="13" t="s">
        <v>204</v>
      </c>
      <c r="B8" s="13" t="s">
        <v>205</v>
      </c>
      <c r="C8" s="13" t="s">
        <v>69</v>
      </c>
      <c r="D8" s="21" t="s">
        <v>69</v>
      </c>
      <c r="E8" s="13" t="s">
        <v>69</v>
      </c>
      <c r="F8" s="13" t="s">
        <v>69</v>
      </c>
      <c r="G8" s="13" t="s">
        <v>69</v>
      </c>
      <c r="H8" s="13" t="s">
        <v>206</v>
      </c>
      <c r="I8" s="19">
        <v>4000</v>
      </c>
      <c r="J8" s="20" t="s">
        <v>69</v>
      </c>
      <c r="K8" s="19" t="s">
        <v>69</v>
      </c>
      <c r="L8" s="19" t="s">
        <v>69</v>
      </c>
      <c r="M8" s="19" t="s">
        <v>69</v>
      </c>
      <c r="N8" s="19" t="s">
        <v>69</v>
      </c>
      <c r="O8" s="19" t="s">
        <v>69</v>
      </c>
      <c r="P8" s="19" t="s">
        <v>69</v>
      </c>
      <c r="Q8" s="19" t="s">
        <v>69</v>
      </c>
      <c r="R8" s="18" t="s">
        <v>207</v>
      </c>
      <c r="S8" s="13" t="s">
        <v>208</v>
      </c>
      <c r="T8" s="13" t="s">
        <v>209</v>
      </c>
      <c r="U8" s="13" t="s">
        <v>210</v>
      </c>
      <c r="V8" s="13" t="s">
        <v>211</v>
      </c>
      <c r="W8" s="13" t="s">
        <v>212</v>
      </c>
      <c r="X8" s="13" t="s">
        <v>213</v>
      </c>
      <c r="Y8" s="13" t="s">
        <v>214</v>
      </c>
      <c r="Z8" s="13" t="s">
        <v>215</v>
      </c>
      <c r="AA8" s="13" t="s">
        <v>216</v>
      </c>
      <c r="AB8" s="13" t="s">
        <v>217</v>
      </c>
      <c r="AC8" s="18" t="s">
        <v>218</v>
      </c>
      <c r="AD8" s="13" t="s">
        <v>219</v>
      </c>
      <c r="AE8" s="18" t="s">
        <v>212</v>
      </c>
      <c r="AF8" s="18" t="s">
        <v>69</v>
      </c>
      <c r="AG8" s="13" t="s">
        <v>69</v>
      </c>
      <c r="AH8" s="13" t="s">
        <v>83</v>
      </c>
      <c r="AI8" s="13" t="s">
        <v>220</v>
      </c>
      <c r="AJ8" s="13" t="s">
        <v>221</v>
      </c>
      <c r="AK8" s="13" t="s">
        <v>69</v>
      </c>
      <c r="AL8" s="13" t="s">
        <v>222</v>
      </c>
      <c r="AM8" s="13" t="s">
        <v>223</v>
      </c>
      <c r="AN8" s="13" t="s">
        <v>224</v>
      </c>
      <c r="AO8" s="13" t="s">
        <v>69</v>
      </c>
      <c r="AP8" s="13" t="s">
        <v>204</v>
      </c>
      <c r="AQ8" s="13" t="s">
        <v>225</v>
      </c>
      <c r="AR8" s="13" t="s">
        <v>90</v>
      </c>
      <c r="AS8" s="13" t="s">
        <v>121</v>
      </c>
      <c r="AT8" s="13" t="s">
        <v>166</v>
      </c>
      <c r="AU8" s="13" t="s">
        <v>167</v>
      </c>
      <c r="AV8" s="13" t="s">
        <v>201</v>
      </c>
      <c r="AW8" s="13" t="s">
        <v>226</v>
      </c>
      <c r="AX8" s="13" t="s">
        <v>69</v>
      </c>
      <c r="AY8" s="13" t="s">
        <v>96</v>
      </c>
      <c r="AZ8" s="17" t="s">
        <v>69</v>
      </c>
      <c r="BA8" s="13" t="s">
        <v>126</v>
      </c>
      <c r="BB8" s="13" t="s">
        <v>98</v>
      </c>
      <c r="BC8" s="13" t="s">
        <v>99</v>
      </c>
      <c r="BD8" s="11" t="str">
        <f>HYPERLINK("http://www.joyalukkas.in","www.joyalukkas.in")</f>
        <v>www.joyalukkas.in</v>
      </c>
      <c r="BE8" s="11" t="str">
        <f>HYPERLINK("http://www.linkedin.com/company/joyalukkas","http://www.linkedin.com/company/joyalukkas")</f>
        <v>http://www.linkedin.com/company/joyalukkas</v>
      </c>
      <c r="BF8" s="16">
        <v>9000</v>
      </c>
      <c r="BG8" s="13" t="s">
        <v>227</v>
      </c>
      <c r="BH8" s="13" t="s">
        <v>69</v>
      </c>
      <c r="BI8" s="13" t="s">
        <v>69</v>
      </c>
      <c r="BJ8" s="15">
        <v>1956</v>
      </c>
      <c r="BK8" s="13" t="s">
        <v>69</v>
      </c>
      <c r="BL8" s="14">
        <v>45420</v>
      </c>
      <c r="BM8" s="13" t="s">
        <v>69</v>
      </c>
      <c r="BN8" s="13" t="s">
        <v>69</v>
      </c>
      <c r="BO8" s="11" t="str">
        <f>HYPERLINK("https://my.pitchbook.com?c=494206-75","View Company Online")</f>
        <v>View Company Online</v>
      </c>
    </row>
    <row r="9" spans="1:67" x14ac:dyDescent="0.3">
      <c r="A9" s="3" t="s">
        <v>228</v>
      </c>
      <c r="B9" s="3" t="s">
        <v>229</v>
      </c>
      <c r="C9" s="3" t="s">
        <v>69</v>
      </c>
      <c r="D9" s="5" t="s">
        <v>69</v>
      </c>
      <c r="E9" s="3" t="s">
        <v>69</v>
      </c>
      <c r="F9" s="3" t="s">
        <v>69</v>
      </c>
      <c r="G9" s="3" t="s">
        <v>69</v>
      </c>
      <c r="H9" s="3" t="s">
        <v>69</v>
      </c>
      <c r="I9" s="4">
        <v>3300</v>
      </c>
      <c r="J9" s="7" t="s">
        <v>69</v>
      </c>
      <c r="K9" s="4" t="s">
        <v>69</v>
      </c>
      <c r="L9" s="4" t="s">
        <v>69</v>
      </c>
      <c r="M9" s="4" t="s">
        <v>69</v>
      </c>
      <c r="N9" s="4" t="s">
        <v>69</v>
      </c>
      <c r="O9" s="4" t="s">
        <v>69</v>
      </c>
      <c r="P9" s="4" t="s">
        <v>69</v>
      </c>
      <c r="Q9" s="4" t="s">
        <v>69</v>
      </c>
      <c r="R9" s="6" t="s">
        <v>230</v>
      </c>
      <c r="S9" s="3" t="s">
        <v>231</v>
      </c>
      <c r="T9" s="3" t="s">
        <v>232</v>
      </c>
      <c r="U9" s="3" t="s">
        <v>233</v>
      </c>
      <c r="V9" s="3" t="s">
        <v>234</v>
      </c>
      <c r="W9" s="3" t="s">
        <v>69</v>
      </c>
      <c r="X9" s="3" t="s">
        <v>235</v>
      </c>
      <c r="Y9" s="3" t="s">
        <v>236</v>
      </c>
      <c r="Z9" s="3" t="s">
        <v>237</v>
      </c>
      <c r="AA9" s="3" t="s">
        <v>238</v>
      </c>
      <c r="AB9" s="3" t="s">
        <v>69</v>
      </c>
      <c r="AC9" s="6" t="s">
        <v>239</v>
      </c>
      <c r="AD9" s="3" t="s">
        <v>161</v>
      </c>
      <c r="AE9" s="6" t="s">
        <v>69</v>
      </c>
      <c r="AF9" s="6" t="s">
        <v>69</v>
      </c>
      <c r="AG9" s="3" t="s">
        <v>240</v>
      </c>
      <c r="AH9" s="3" t="s">
        <v>113</v>
      </c>
      <c r="AI9" s="3" t="s">
        <v>114</v>
      </c>
      <c r="AJ9" s="3" t="s">
        <v>69</v>
      </c>
      <c r="AK9" s="3" t="s">
        <v>69</v>
      </c>
      <c r="AL9" s="3" t="s">
        <v>241</v>
      </c>
      <c r="AM9" s="3" t="s">
        <v>69</v>
      </c>
      <c r="AN9" s="3" t="s">
        <v>69</v>
      </c>
      <c r="AO9" s="3" t="s">
        <v>242</v>
      </c>
      <c r="AP9" s="3" t="s">
        <v>228</v>
      </c>
      <c r="AQ9" s="3" t="s">
        <v>243</v>
      </c>
      <c r="AR9" s="3" t="s">
        <v>90</v>
      </c>
      <c r="AS9" s="3" t="s">
        <v>121</v>
      </c>
      <c r="AT9" s="3" t="s">
        <v>166</v>
      </c>
      <c r="AU9" s="3" t="s">
        <v>244</v>
      </c>
      <c r="AV9" s="3" t="s">
        <v>201</v>
      </c>
      <c r="AW9" s="3" t="s">
        <v>245</v>
      </c>
      <c r="AX9" s="3" t="s">
        <v>69</v>
      </c>
      <c r="AY9" s="3" t="s">
        <v>96</v>
      </c>
      <c r="AZ9" s="8" t="s">
        <v>69</v>
      </c>
      <c r="BA9" s="3" t="s">
        <v>126</v>
      </c>
      <c r="BB9" s="3" t="s">
        <v>98</v>
      </c>
      <c r="BC9" s="3" t="s">
        <v>99</v>
      </c>
      <c r="BD9" s="12" t="str">
        <f>HYPERLINK("http://www.longines.com","www.longines.com")</f>
        <v>www.longines.com</v>
      </c>
      <c r="BE9" s="12" t="str">
        <f>HYPERLINK("http://www.linkedin.com/company/longines-watch-co--francillon-ltd-","http://www.linkedin.com/company/longines-watch-co--francillon-ltd-")</f>
        <v>http://www.linkedin.com/company/longines-watch-co--francillon-ltd-</v>
      </c>
      <c r="BF9" s="9">
        <v>522</v>
      </c>
      <c r="BG9" s="3" t="s">
        <v>246</v>
      </c>
      <c r="BH9" s="3" t="s">
        <v>69</v>
      </c>
      <c r="BI9" s="3" t="s">
        <v>69</v>
      </c>
      <c r="BJ9" s="10">
        <v>1831</v>
      </c>
      <c r="BK9" s="3" t="s">
        <v>69</v>
      </c>
      <c r="BL9" s="1">
        <v>45687</v>
      </c>
      <c r="BM9" s="3" t="s">
        <v>69</v>
      </c>
      <c r="BN9" s="3" t="s">
        <v>69</v>
      </c>
      <c r="BO9" s="12" t="str">
        <f>HYPERLINK("https://my.pitchbook.com?c=531007-57","View Company Online")</f>
        <v>View Company Online</v>
      </c>
    </row>
    <row r="10" spans="1:67" x14ac:dyDescent="0.3">
      <c r="A10" s="13" t="s">
        <v>247</v>
      </c>
      <c r="B10" s="13" t="s">
        <v>248</v>
      </c>
      <c r="C10" s="13" t="s">
        <v>69</v>
      </c>
      <c r="D10" s="21" t="s">
        <v>69</v>
      </c>
      <c r="E10" s="13" t="s">
        <v>69</v>
      </c>
      <c r="F10" s="13" t="s">
        <v>69</v>
      </c>
      <c r="G10" s="13" t="s">
        <v>69</v>
      </c>
      <c r="H10" s="13" t="s">
        <v>69</v>
      </c>
      <c r="I10" s="19">
        <v>2952.83</v>
      </c>
      <c r="J10" s="20" t="s">
        <v>69</v>
      </c>
      <c r="K10" s="19" t="s">
        <v>69</v>
      </c>
      <c r="L10" s="19" t="s">
        <v>69</v>
      </c>
      <c r="M10" s="19" t="s">
        <v>69</v>
      </c>
      <c r="N10" s="19" t="s">
        <v>69</v>
      </c>
      <c r="O10" s="19" t="s">
        <v>69</v>
      </c>
      <c r="P10" s="19" t="s">
        <v>69</v>
      </c>
      <c r="Q10" s="19" t="s">
        <v>69</v>
      </c>
      <c r="R10" s="18" t="s">
        <v>152</v>
      </c>
      <c r="S10" s="13" t="s">
        <v>69</v>
      </c>
      <c r="T10" s="13" t="s">
        <v>69</v>
      </c>
      <c r="U10" s="13" t="s">
        <v>69</v>
      </c>
      <c r="V10" s="13" t="s">
        <v>69</v>
      </c>
      <c r="W10" s="13" t="s">
        <v>69</v>
      </c>
      <c r="X10" s="13" t="s">
        <v>249</v>
      </c>
      <c r="Y10" s="13" t="s">
        <v>250</v>
      </c>
      <c r="Z10" s="13" t="s">
        <v>69</v>
      </c>
      <c r="AA10" s="13" t="s">
        <v>251</v>
      </c>
      <c r="AB10" s="13" t="s">
        <v>69</v>
      </c>
      <c r="AC10" s="18" t="s">
        <v>252</v>
      </c>
      <c r="AD10" s="13" t="s">
        <v>161</v>
      </c>
      <c r="AE10" s="18" t="s">
        <v>69</v>
      </c>
      <c r="AF10" s="18" t="s">
        <v>69</v>
      </c>
      <c r="AG10" s="13" t="s">
        <v>69</v>
      </c>
      <c r="AH10" s="13" t="s">
        <v>113</v>
      </c>
      <c r="AI10" s="13" t="s">
        <v>114</v>
      </c>
      <c r="AJ10" s="13" t="s">
        <v>69</v>
      </c>
      <c r="AK10" s="13" t="s">
        <v>253</v>
      </c>
      <c r="AL10" s="13" t="s">
        <v>254</v>
      </c>
      <c r="AM10" s="13" t="s">
        <v>69</v>
      </c>
      <c r="AN10" s="13" t="s">
        <v>69</v>
      </c>
      <c r="AO10" s="13" t="s">
        <v>255</v>
      </c>
      <c r="AP10" s="13" t="s">
        <v>247</v>
      </c>
      <c r="AQ10" s="13" t="s">
        <v>256</v>
      </c>
      <c r="AR10" s="13" t="s">
        <v>90</v>
      </c>
      <c r="AS10" s="13" t="s">
        <v>121</v>
      </c>
      <c r="AT10" s="13" t="s">
        <v>166</v>
      </c>
      <c r="AU10" s="13" t="s">
        <v>257</v>
      </c>
      <c r="AV10" s="13" t="s">
        <v>69</v>
      </c>
      <c r="AW10" s="13" t="s">
        <v>258</v>
      </c>
      <c r="AX10" s="13" t="s">
        <v>69</v>
      </c>
      <c r="AY10" s="13" t="s">
        <v>96</v>
      </c>
      <c r="AZ10" s="17" t="s">
        <v>69</v>
      </c>
      <c r="BA10" s="13" t="s">
        <v>126</v>
      </c>
      <c r="BB10" s="13" t="s">
        <v>98</v>
      </c>
      <c r="BC10" s="13" t="s">
        <v>99</v>
      </c>
      <c r="BD10" s="11" t="str">
        <f>HYPERLINK("http://omegawatches.com","omegawatches.com")</f>
        <v>omegawatches.com</v>
      </c>
      <c r="BE10" s="11" t="str">
        <f>HYPERLINK("http://www.linkedin.com/company/omega-sa","http://www.linkedin.com/company/omega-sa")</f>
        <v>http://www.linkedin.com/company/omega-sa</v>
      </c>
      <c r="BF10" s="16">
        <v>1923</v>
      </c>
      <c r="BG10" s="13" t="s">
        <v>259</v>
      </c>
      <c r="BH10" s="13" t="s">
        <v>69</v>
      </c>
      <c r="BI10" s="13" t="s">
        <v>69</v>
      </c>
      <c r="BJ10" s="15">
        <v>1848</v>
      </c>
      <c r="BK10" s="13" t="s">
        <v>69</v>
      </c>
      <c r="BL10" s="14">
        <v>45468</v>
      </c>
      <c r="BM10" s="13" t="s">
        <v>69</v>
      </c>
      <c r="BN10" s="13" t="s">
        <v>69</v>
      </c>
      <c r="BO10" s="11" t="str">
        <f>HYPERLINK("https://my.pitchbook.com?c=350946-82","View Company Online")</f>
        <v>View Company Online</v>
      </c>
    </row>
    <row r="11" spans="1:67" x14ac:dyDescent="0.3">
      <c r="A11" s="3" t="s">
        <v>260</v>
      </c>
      <c r="B11" s="3" t="s">
        <v>261</v>
      </c>
      <c r="C11" s="3" t="s">
        <v>69</v>
      </c>
      <c r="D11" s="5" t="s">
        <v>69</v>
      </c>
      <c r="E11" s="3" t="s">
        <v>69</v>
      </c>
      <c r="F11" s="3" t="s">
        <v>69</v>
      </c>
      <c r="G11" s="3" t="s">
        <v>69</v>
      </c>
      <c r="H11" s="3" t="s">
        <v>69</v>
      </c>
      <c r="I11" s="4">
        <v>2725.69</v>
      </c>
      <c r="J11" s="7">
        <v>7.92</v>
      </c>
      <c r="K11" s="4" t="s">
        <v>69</v>
      </c>
      <c r="L11" s="4" t="s">
        <v>69</v>
      </c>
      <c r="M11" s="4" t="s">
        <v>69</v>
      </c>
      <c r="N11" s="4" t="s">
        <v>69</v>
      </c>
      <c r="O11" s="4" t="s">
        <v>69</v>
      </c>
      <c r="P11" s="4" t="s">
        <v>69</v>
      </c>
      <c r="Q11" s="4" t="s">
        <v>69</v>
      </c>
      <c r="R11" s="6" t="s">
        <v>152</v>
      </c>
      <c r="S11" s="3" t="s">
        <v>262</v>
      </c>
      <c r="T11" s="3" t="s">
        <v>263</v>
      </c>
      <c r="U11" s="3" t="s">
        <v>73</v>
      </c>
      <c r="V11" s="3" t="s">
        <v>264</v>
      </c>
      <c r="W11" s="3" t="s">
        <v>265</v>
      </c>
      <c r="X11" s="3" t="s">
        <v>266</v>
      </c>
      <c r="Y11" s="3" t="s">
        <v>267</v>
      </c>
      <c r="Z11" s="3" t="s">
        <v>268</v>
      </c>
      <c r="AA11" s="3" t="s">
        <v>269</v>
      </c>
      <c r="AB11" s="3" t="s">
        <v>69</v>
      </c>
      <c r="AC11" s="6" t="s">
        <v>270</v>
      </c>
      <c r="AD11" s="3" t="s">
        <v>161</v>
      </c>
      <c r="AE11" s="6" t="s">
        <v>69</v>
      </c>
      <c r="AF11" s="6" t="s">
        <v>69</v>
      </c>
      <c r="AG11" s="3" t="s">
        <v>271</v>
      </c>
      <c r="AH11" s="3" t="s">
        <v>113</v>
      </c>
      <c r="AI11" s="3" t="s">
        <v>114</v>
      </c>
      <c r="AJ11" s="3" t="s">
        <v>69</v>
      </c>
      <c r="AK11" s="3" t="s">
        <v>69</v>
      </c>
      <c r="AL11" s="3" t="s">
        <v>272</v>
      </c>
      <c r="AM11" s="3" t="s">
        <v>69</v>
      </c>
      <c r="AN11" s="3" t="s">
        <v>69</v>
      </c>
      <c r="AO11" s="3" t="s">
        <v>273</v>
      </c>
      <c r="AP11" s="3" t="s">
        <v>260</v>
      </c>
      <c r="AQ11" s="3" t="s">
        <v>274</v>
      </c>
      <c r="AR11" s="3" t="s">
        <v>90</v>
      </c>
      <c r="AS11" s="3" t="s">
        <v>121</v>
      </c>
      <c r="AT11" s="3" t="s">
        <v>166</v>
      </c>
      <c r="AU11" s="3" t="s">
        <v>275</v>
      </c>
      <c r="AV11" s="3" t="s">
        <v>201</v>
      </c>
      <c r="AW11" s="3" t="s">
        <v>276</v>
      </c>
      <c r="AX11" s="3" t="s">
        <v>69</v>
      </c>
      <c r="AY11" s="3" t="s">
        <v>96</v>
      </c>
      <c r="AZ11" s="8" t="s">
        <v>69</v>
      </c>
      <c r="BA11" s="3" t="s">
        <v>126</v>
      </c>
      <c r="BB11" s="3" t="s">
        <v>98</v>
      </c>
      <c r="BC11" s="3" t="s">
        <v>99</v>
      </c>
      <c r="BD11" s="12" t="str">
        <f>HYPERLINK("http://www.audemarspiguet.com","www.audemarspiguet.com")</f>
        <v>www.audemarspiguet.com</v>
      </c>
      <c r="BE11" s="12" t="str">
        <f>HYPERLINK("http://www.linkedin.com/company/audemarspiguet","http://www.linkedin.com/company/audemarspiguet")</f>
        <v>http://www.linkedin.com/company/audemarspiguet</v>
      </c>
      <c r="BF11" s="9">
        <v>2251</v>
      </c>
      <c r="BG11" s="3" t="s">
        <v>277</v>
      </c>
      <c r="BH11" s="3" t="s">
        <v>69</v>
      </c>
      <c r="BI11" s="3" t="s">
        <v>69</v>
      </c>
      <c r="BJ11" s="10">
        <v>1874</v>
      </c>
      <c r="BK11" s="3" t="s">
        <v>69</v>
      </c>
      <c r="BL11" s="1">
        <v>45745</v>
      </c>
      <c r="BM11" s="3" t="s">
        <v>69</v>
      </c>
      <c r="BN11" s="3" t="s">
        <v>69</v>
      </c>
      <c r="BO11" s="12" t="str">
        <f>HYPERLINK("https://my.pitchbook.com?c=224136-37","View Company Online")</f>
        <v>View Company Online</v>
      </c>
    </row>
    <row r="12" spans="1:67" x14ac:dyDescent="0.3">
      <c r="A12" s="13" t="s">
        <v>278</v>
      </c>
      <c r="B12" s="13" t="s">
        <v>279</v>
      </c>
      <c r="C12" s="13" t="s">
        <v>69</v>
      </c>
      <c r="D12" s="21" t="s">
        <v>69</v>
      </c>
      <c r="E12" s="13" t="s">
        <v>69</v>
      </c>
      <c r="F12" s="13" t="s">
        <v>69</v>
      </c>
      <c r="G12" s="13" t="s">
        <v>69</v>
      </c>
      <c r="H12" s="13" t="s">
        <v>69</v>
      </c>
      <c r="I12" s="19">
        <v>2046.9</v>
      </c>
      <c r="J12" s="20" t="s">
        <v>69</v>
      </c>
      <c r="K12" s="19" t="s">
        <v>69</v>
      </c>
      <c r="L12" s="19" t="s">
        <v>69</v>
      </c>
      <c r="M12" s="19" t="s">
        <v>69</v>
      </c>
      <c r="N12" s="19" t="s">
        <v>69</v>
      </c>
      <c r="O12" s="19" t="s">
        <v>69</v>
      </c>
      <c r="P12" s="19" t="s">
        <v>69</v>
      </c>
      <c r="Q12" s="19" t="s">
        <v>69</v>
      </c>
      <c r="R12" s="18" t="s">
        <v>152</v>
      </c>
      <c r="S12" s="13" t="s">
        <v>280</v>
      </c>
      <c r="T12" s="13" t="s">
        <v>281</v>
      </c>
      <c r="U12" s="13" t="s">
        <v>282</v>
      </c>
      <c r="V12" s="13" t="s">
        <v>283</v>
      </c>
      <c r="W12" s="13" t="s">
        <v>69</v>
      </c>
      <c r="X12" s="13" t="s">
        <v>284</v>
      </c>
      <c r="Y12" s="13" t="s">
        <v>285</v>
      </c>
      <c r="Z12" s="13" t="s">
        <v>286</v>
      </c>
      <c r="AA12" s="13" t="s">
        <v>287</v>
      </c>
      <c r="AB12" s="13" t="s">
        <v>69</v>
      </c>
      <c r="AC12" s="18" t="s">
        <v>288</v>
      </c>
      <c r="AD12" s="13" t="s">
        <v>289</v>
      </c>
      <c r="AE12" s="18" t="s">
        <v>69</v>
      </c>
      <c r="AF12" s="18" t="s">
        <v>69</v>
      </c>
      <c r="AG12" s="13" t="s">
        <v>69</v>
      </c>
      <c r="AH12" s="13" t="s">
        <v>83</v>
      </c>
      <c r="AI12" s="13" t="s">
        <v>84</v>
      </c>
      <c r="AJ12" s="13" t="s">
        <v>69</v>
      </c>
      <c r="AK12" s="13" t="s">
        <v>69</v>
      </c>
      <c r="AL12" s="13" t="s">
        <v>290</v>
      </c>
      <c r="AM12" s="13" t="s">
        <v>69</v>
      </c>
      <c r="AN12" s="13" t="s">
        <v>69</v>
      </c>
      <c r="AO12" s="13" t="s">
        <v>69</v>
      </c>
      <c r="AP12" s="13" t="s">
        <v>278</v>
      </c>
      <c r="AQ12" s="13" t="s">
        <v>291</v>
      </c>
      <c r="AR12" s="13" t="s">
        <v>90</v>
      </c>
      <c r="AS12" s="13" t="s">
        <v>121</v>
      </c>
      <c r="AT12" s="13" t="s">
        <v>166</v>
      </c>
      <c r="AU12" s="13" t="s">
        <v>244</v>
      </c>
      <c r="AV12" s="13" t="s">
        <v>69</v>
      </c>
      <c r="AW12" s="13" t="s">
        <v>292</v>
      </c>
      <c r="AX12" s="13" t="s">
        <v>69</v>
      </c>
      <c r="AY12" s="13" t="s">
        <v>96</v>
      </c>
      <c r="AZ12" s="17" t="s">
        <v>69</v>
      </c>
      <c r="BA12" s="13" t="s">
        <v>126</v>
      </c>
      <c r="BB12" s="13" t="s">
        <v>98</v>
      </c>
      <c r="BC12" s="13" t="s">
        <v>99</v>
      </c>
      <c r="BD12" s="11" t="str">
        <f>HYPERLINK("http://www.seikowatches.com","www.seikowatches.com")</f>
        <v>www.seikowatches.com</v>
      </c>
      <c r="BE12" s="11" t="str">
        <f>HYPERLINK("http://www.linkedin.com/company/seiko-watch-corporation","http://www.linkedin.com/company/seiko-watch-corporation")</f>
        <v>http://www.linkedin.com/company/seiko-watch-corporation</v>
      </c>
      <c r="BF12" s="16">
        <v>12000</v>
      </c>
      <c r="BG12" s="13" t="s">
        <v>293</v>
      </c>
      <c r="BH12" s="13" t="s">
        <v>69</v>
      </c>
      <c r="BI12" s="13" t="s">
        <v>69</v>
      </c>
      <c r="BJ12" s="15">
        <v>1880</v>
      </c>
      <c r="BK12" s="13" t="s">
        <v>69</v>
      </c>
      <c r="BL12" s="14">
        <v>45690</v>
      </c>
      <c r="BM12" s="13" t="s">
        <v>69</v>
      </c>
      <c r="BN12" s="13" t="s">
        <v>69</v>
      </c>
      <c r="BO12" s="11" t="str">
        <f>HYPERLINK("https://my.pitchbook.com?c=507322-00","View Company Online")</f>
        <v>View Company Online</v>
      </c>
    </row>
    <row r="13" spans="1:67" x14ac:dyDescent="0.3">
      <c r="A13" s="3" t="s">
        <v>294</v>
      </c>
      <c r="B13" s="3" t="s">
        <v>295</v>
      </c>
      <c r="C13" s="3" t="s">
        <v>69</v>
      </c>
      <c r="D13" s="5" t="s">
        <v>69</v>
      </c>
      <c r="E13" s="3" t="s">
        <v>69</v>
      </c>
      <c r="F13" s="3" t="s">
        <v>69</v>
      </c>
      <c r="G13" s="3" t="s">
        <v>69</v>
      </c>
      <c r="H13" s="3" t="s">
        <v>69</v>
      </c>
      <c r="I13" s="4">
        <v>1947.78</v>
      </c>
      <c r="J13" s="7" t="s">
        <v>69</v>
      </c>
      <c r="K13" s="4" t="s">
        <v>69</v>
      </c>
      <c r="L13" s="4" t="s">
        <v>69</v>
      </c>
      <c r="M13" s="4" t="s">
        <v>69</v>
      </c>
      <c r="N13" s="4" t="s">
        <v>69</v>
      </c>
      <c r="O13" s="4" t="s">
        <v>69</v>
      </c>
      <c r="P13" s="4" t="s">
        <v>69</v>
      </c>
      <c r="Q13" s="4" t="s">
        <v>69</v>
      </c>
      <c r="R13" s="6" t="s">
        <v>152</v>
      </c>
      <c r="S13" s="3" t="s">
        <v>296</v>
      </c>
      <c r="T13" s="3" t="s">
        <v>297</v>
      </c>
      <c r="U13" s="3" t="s">
        <v>298</v>
      </c>
      <c r="V13" s="3" t="s">
        <v>299</v>
      </c>
      <c r="W13" s="3" t="s">
        <v>300</v>
      </c>
      <c r="X13" s="3" t="s">
        <v>301</v>
      </c>
      <c r="Y13" s="3" t="s">
        <v>302</v>
      </c>
      <c r="Z13" s="3" t="s">
        <v>69</v>
      </c>
      <c r="AA13" s="3" t="s">
        <v>303</v>
      </c>
      <c r="AB13" s="3" t="s">
        <v>304</v>
      </c>
      <c r="AC13" s="6" t="s">
        <v>305</v>
      </c>
      <c r="AD13" s="3" t="s">
        <v>306</v>
      </c>
      <c r="AE13" s="6" t="s">
        <v>300</v>
      </c>
      <c r="AF13" s="6" t="s">
        <v>69</v>
      </c>
      <c r="AG13" s="3" t="s">
        <v>69</v>
      </c>
      <c r="AH13" s="3" t="s">
        <v>113</v>
      </c>
      <c r="AI13" s="3" t="s">
        <v>307</v>
      </c>
      <c r="AJ13" s="3" t="s">
        <v>69</v>
      </c>
      <c r="AK13" s="3" t="s">
        <v>308</v>
      </c>
      <c r="AL13" s="3" t="s">
        <v>309</v>
      </c>
      <c r="AM13" s="3" t="s">
        <v>310</v>
      </c>
      <c r="AN13" s="3" t="s">
        <v>311</v>
      </c>
      <c r="AO13" s="3" t="s">
        <v>69</v>
      </c>
      <c r="AP13" s="3" t="s">
        <v>294</v>
      </c>
      <c r="AQ13" s="3" t="s">
        <v>312</v>
      </c>
      <c r="AR13" s="3" t="s">
        <v>182</v>
      </c>
      <c r="AS13" s="3" t="s">
        <v>313</v>
      </c>
      <c r="AT13" s="3" t="s">
        <v>314</v>
      </c>
      <c r="AU13" s="3" t="s">
        <v>315</v>
      </c>
      <c r="AV13" s="3" t="s">
        <v>316</v>
      </c>
      <c r="AW13" s="3" t="s">
        <v>317</v>
      </c>
      <c r="AX13" s="3" t="s">
        <v>69</v>
      </c>
      <c r="AY13" s="3" t="s">
        <v>96</v>
      </c>
      <c r="AZ13" s="8" t="s">
        <v>69</v>
      </c>
      <c r="BA13" s="3" t="s">
        <v>126</v>
      </c>
      <c r="BB13" s="3" t="s">
        <v>98</v>
      </c>
      <c r="BC13" s="3" t="s">
        <v>99</v>
      </c>
      <c r="BD13" s="12" t="str">
        <f>HYPERLINK("http://clgrupoindustrial.com","clgrupoindustrial.com")</f>
        <v>clgrupoindustrial.com</v>
      </c>
      <c r="BE13" s="12" t="str">
        <f>HYPERLINK("http://www.linkedin.com/company/cl-grupo-industrial","http://www.linkedin.com/company/cl-grupo-industrial")</f>
        <v>http://www.linkedin.com/company/cl-grupo-industrial</v>
      </c>
      <c r="BF13" s="9">
        <v>1214</v>
      </c>
      <c r="BG13" s="3" t="s">
        <v>318</v>
      </c>
      <c r="BH13" s="3" t="s">
        <v>69</v>
      </c>
      <c r="BI13" s="3" t="s">
        <v>69</v>
      </c>
      <c r="BJ13" s="10">
        <v>1981</v>
      </c>
      <c r="BK13" s="3" t="s">
        <v>69</v>
      </c>
      <c r="BL13" s="1">
        <v>45502</v>
      </c>
      <c r="BM13" s="3" t="s">
        <v>69</v>
      </c>
      <c r="BN13" s="3" t="s">
        <v>69</v>
      </c>
      <c r="BO13" s="12" t="str">
        <f>HYPERLINK("https://my.pitchbook.com?c=530285-41","View Company Online")</f>
        <v>View Company Online</v>
      </c>
    </row>
    <row r="14" spans="1:67" x14ac:dyDescent="0.3">
      <c r="A14" s="13" t="s">
        <v>319</v>
      </c>
      <c r="B14" s="13" t="s">
        <v>320</v>
      </c>
      <c r="C14" s="13" t="s">
        <v>69</v>
      </c>
      <c r="D14" s="21" t="s">
        <v>69</v>
      </c>
      <c r="E14" s="13" t="s">
        <v>69</v>
      </c>
      <c r="F14" s="13" t="s">
        <v>69</v>
      </c>
      <c r="G14" s="13" t="s">
        <v>69</v>
      </c>
      <c r="H14" s="13" t="s">
        <v>69</v>
      </c>
      <c r="I14" s="19">
        <v>1787.39</v>
      </c>
      <c r="J14" s="20">
        <v>-13.73</v>
      </c>
      <c r="K14" s="19" t="s">
        <v>69</v>
      </c>
      <c r="L14" s="19" t="s">
        <v>69</v>
      </c>
      <c r="M14" s="19" t="s">
        <v>69</v>
      </c>
      <c r="N14" s="19" t="s">
        <v>69</v>
      </c>
      <c r="O14" s="19" t="s">
        <v>69</v>
      </c>
      <c r="P14" s="19" t="s">
        <v>69</v>
      </c>
      <c r="Q14" s="19" t="s">
        <v>69</v>
      </c>
      <c r="R14" s="18" t="s">
        <v>321</v>
      </c>
      <c r="S14" s="13" t="s">
        <v>322</v>
      </c>
      <c r="T14" s="13" t="s">
        <v>323</v>
      </c>
      <c r="U14" s="13" t="s">
        <v>324</v>
      </c>
      <c r="V14" s="13" t="s">
        <v>325</v>
      </c>
      <c r="W14" s="13" t="s">
        <v>326</v>
      </c>
      <c r="X14" s="13" t="s">
        <v>327</v>
      </c>
      <c r="Y14" s="13" t="s">
        <v>328</v>
      </c>
      <c r="Z14" s="13" t="s">
        <v>329</v>
      </c>
      <c r="AA14" s="13" t="s">
        <v>330</v>
      </c>
      <c r="AB14" s="13" t="s">
        <v>69</v>
      </c>
      <c r="AC14" s="18" t="s">
        <v>69</v>
      </c>
      <c r="AD14" s="13" t="s">
        <v>331</v>
      </c>
      <c r="AE14" s="18" t="s">
        <v>326</v>
      </c>
      <c r="AF14" s="18" t="s">
        <v>69</v>
      </c>
      <c r="AG14" s="13" t="s">
        <v>332</v>
      </c>
      <c r="AH14" s="13" t="s">
        <v>113</v>
      </c>
      <c r="AI14" s="13" t="s">
        <v>333</v>
      </c>
      <c r="AJ14" s="13" t="s">
        <v>69</v>
      </c>
      <c r="AK14" s="13" t="s">
        <v>334</v>
      </c>
      <c r="AL14" s="13" t="s">
        <v>335</v>
      </c>
      <c r="AM14" s="13" t="s">
        <v>69</v>
      </c>
      <c r="AN14" s="13" t="s">
        <v>69</v>
      </c>
      <c r="AO14" s="13" t="s">
        <v>69</v>
      </c>
      <c r="AP14" s="13" t="s">
        <v>319</v>
      </c>
      <c r="AQ14" s="13" t="s">
        <v>336</v>
      </c>
      <c r="AR14" s="13" t="s">
        <v>90</v>
      </c>
      <c r="AS14" s="13" t="s">
        <v>337</v>
      </c>
      <c r="AT14" s="13" t="s">
        <v>338</v>
      </c>
      <c r="AU14" s="13" t="s">
        <v>339</v>
      </c>
      <c r="AV14" s="13" t="s">
        <v>340</v>
      </c>
      <c r="AW14" s="13" t="s">
        <v>341</v>
      </c>
      <c r="AX14" s="13" t="s">
        <v>69</v>
      </c>
      <c r="AY14" s="13" t="s">
        <v>96</v>
      </c>
      <c r="AZ14" s="17" t="s">
        <v>69</v>
      </c>
      <c r="BA14" s="13" t="s">
        <v>126</v>
      </c>
      <c r="BB14" s="13" t="s">
        <v>98</v>
      </c>
      <c r="BC14" s="13" t="s">
        <v>99</v>
      </c>
      <c r="BD14" s="11" t="str">
        <f>HYPERLINK("http://www.alza.cz","www.alza.cz")</f>
        <v>www.alza.cz</v>
      </c>
      <c r="BE14" s="11" t="str">
        <f>HYPERLINK("http://www.linkedin.com/company/alza-cz","http://www.linkedin.com/company/alza-cz")</f>
        <v>http://www.linkedin.com/company/alza-cz</v>
      </c>
      <c r="BF14" s="16">
        <v>1693</v>
      </c>
      <c r="BG14" s="13" t="s">
        <v>342</v>
      </c>
      <c r="BH14" s="13" t="s">
        <v>69</v>
      </c>
      <c r="BI14" s="13" t="s">
        <v>69</v>
      </c>
      <c r="BJ14" s="15">
        <v>1994</v>
      </c>
      <c r="BK14" s="13" t="s">
        <v>69</v>
      </c>
      <c r="BL14" s="14">
        <v>45715</v>
      </c>
      <c r="BM14" s="13" t="s">
        <v>69</v>
      </c>
      <c r="BN14" s="13" t="s">
        <v>69</v>
      </c>
      <c r="BO14" s="11" t="str">
        <f>HYPERLINK("https://my.pitchbook.com?c=107421-85","View Company Online")</f>
        <v>View Company Online</v>
      </c>
    </row>
    <row r="15" spans="1:67" x14ac:dyDescent="0.3">
      <c r="A15" s="3" t="s">
        <v>343</v>
      </c>
      <c r="B15" s="3" t="s">
        <v>344</v>
      </c>
      <c r="C15" s="3" t="s">
        <v>69</v>
      </c>
      <c r="D15" s="5" t="s">
        <v>69</v>
      </c>
      <c r="E15" s="3" t="s">
        <v>69</v>
      </c>
      <c r="F15" s="3" t="s">
        <v>69</v>
      </c>
      <c r="G15" s="3" t="s">
        <v>69</v>
      </c>
      <c r="H15" s="3" t="s">
        <v>345</v>
      </c>
      <c r="I15" s="4">
        <v>1703.56</v>
      </c>
      <c r="J15" s="7" t="s">
        <v>69</v>
      </c>
      <c r="K15" s="4" t="s">
        <v>69</v>
      </c>
      <c r="L15" s="4" t="s">
        <v>69</v>
      </c>
      <c r="M15" s="4" t="s">
        <v>69</v>
      </c>
      <c r="N15" s="4" t="s">
        <v>69</v>
      </c>
      <c r="O15" s="4" t="s">
        <v>69</v>
      </c>
      <c r="P15" s="4" t="s">
        <v>69</v>
      </c>
      <c r="Q15" s="4" t="s">
        <v>69</v>
      </c>
      <c r="R15" s="6" t="s">
        <v>152</v>
      </c>
      <c r="S15" s="3" t="s">
        <v>69</v>
      </c>
      <c r="T15" s="3" t="s">
        <v>69</v>
      </c>
      <c r="U15" s="3" t="s">
        <v>69</v>
      </c>
      <c r="V15" s="3" t="s">
        <v>69</v>
      </c>
      <c r="W15" s="3" t="s">
        <v>69</v>
      </c>
      <c r="X15" s="3" t="s">
        <v>157</v>
      </c>
      <c r="Y15" s="3" t="s">
        <v>346</v>
      </c>
      <c r="Z15" s="3" t="s">
        <v>347</v>
      </c>
      <c r="AA15" s="3" t="s">
        <v>159</v>
      </c>
      <c r="AB15" s="3" t="s">
        <v>69</v>
      </c>
      <c r="AC15" s="6" t="s">
        <v>348</v>
      </c>
      <c r="AD15" s="3" t="s">
        <v>161</v>
      </c>
      <c r="AE15" s="6" t="s">
        <v>349</v>
      </c>
      <c r="AF15" s="6" t="s">
        <v>350</v>
      </c>
      <c r="AG15" s="3" t="s">
        <v>351</v>
      </c>
      <c r="AH15" s="3" t="s">
        <v>113</v>
      </c>
      <c r="AI15" s="3" t="s">
        <v>114</v>
      </c>
      <c r="AJ15" s="3" t="s">
        <v>69</v>
      </c>
      <c r="AK15" s="3" t="s">
        <v>69</v>
      </c>
      <c r="AL15" s="3" t="s">
        <v>69</v>
      </c>
      <c r="AM15" s="3" t="s">
        <v>69</v>
      </c>
      <c r="AN15" s="3" t="s">
        <v>69</v>
      </c>
      <c r="AO15" s="3" t="s">
        <v>352</v>
      </c>
      <c r="AP15" s="3" t="s">
        <v>343</v>
      </c>
      <c r="AQ15" s="3" t="s">
        <v>353</v>
      </c>
      <c r="AR15" s="3" t="s">
        <v>90</v>
      </c>
      <c r="AS15" s="3" t="s">
        <v>121</v>
      </c>
      <c r="AT15" s="3" t="s">
        <v>166</v>
      </c>
      <c r="AU15" s="3" t="s">
        <v>257</v>
      </c>
      <c r="AV15" s="3" t="s">
        <v>201</v>
      </c>
      <c r="AW15" s="3" t="s">
        <v>354</v>
      </c>
      <c r="AX15" s="3" t="s">
        <v>69</v>
      </c>
      <c r="AY15" s="3" t="s">
        <v>355</v>
      </c>
      <c r="AZ15" s="8" t="s">
        <v>69</v>
      </c>
      <c r="BA15" s="3" t="s">
        <v>126</v>
      </c>
      <c r="BB15" s="3" t="s">
        <v>98</v>
      </c>
      <c r="BC15" s="3" t="s">
        <v>356</v>
      </c>
      <c r="BD15" s="12" t="str">
        <f>HYPERLINK("http://www.richardmille.com","www.richardmille.com")</f>
        <v>www.richardmille.com</v>
      </c>
      <c r="BE15" s="12" t="str">
        <f>HYPERLINK("http://www.linkedin.com/company/richard-mille","http://www.linkedin.com/company/richard-mille")</f>
        <v>http://www.linkedin.com/company/richard-mille</v>
      </c>
      <c r="BF15" s="9">
        <v>38</v>
      </c>
      <c r="BG15" s="3" t="s">
        <v>357</v>
      </c>
      <c r="BH15" s="3" t="s">
        <v>69</v>
      </c>
      <c r="BI15" s="3" t="s">
        <v>69</v>
      </c>
      <c r="BJ15" s="10">
        <v>2001</v>
      </c>
      <c r="BK15" s="3" t="s">
        <v>69</v>
      </c>
      <c r="BL15" s="1">
        <v>45638</v>
      </c>
      <c r="BM15" s="3" t="s">
        <v>69</v>
      </c>
      <c r="BN15" s="3" t="s">
        <v>69</v>
      </c>
      <c r="BO15" s="12" t="str">
        <f>HYPERLINK("https://my.pitchbook.com?c=63809-11","View Company Online")</f>
        <v>View Company Online</v>
      </c>
    </row>
    <row r="16" spans="1:67" x14ac:dyDescent="0.3">
      <c r="A16" s="13" t="s">
        <v>358</v>
      </c>
      <c r="B16" s="13" t="s">
        <v>359</v>
      </c>
      <c r="C16" s="13" t="s">
        <v>69</v>
      </c>
      <c r="D16" s="21" t="s">
        <v>69</v>
      </c>
      <c r="E16" s="13" t="s">
        <v>69</v>
      </c>
      <c r="F16" s="13" t="s">
        <v>69</v>
      </c>
      <c r="G16" s="13" t="s">
        <v>69</v>
      </c>
      <c r="H16" s="13" t="s">
        <v>360</v>
      </c>
      <c r="I16" s="19">
        <v>1600.6</v>
      </c>
      <c r="J16" s="20">
        <v>-48.77</v>
      </c>
      <c r="K16" s="19" t="s">
        <v>69</v>
      </c>
      <c r="L16" s="19" t="s">
        <v>69</v>
      </c>
      <c r="M16" s="19" t="s">
        <v>69</v>
      </c>
      <c r="N16" s="19" t="s">
        <v>69</v>
      </c>
      <c r="O16" s="19" t="s">
        <v>69</v>
      </c>
      <c r="P16" s="19" t="s">
        <v>69</v>
      </c>
      <c r="Q16" s="19" t="s">
        <v>69</v>
      </c>
      <c r="R16" s="18" t="s">
        <v>70</v>
      </c>
      <c r="S16" s="13" t="s">
        <v>361</v>
      </c>
      <c r="T16" s="13" t="s">
        <v>362</v>
      </c>
      <c r="U16" s="13" t="s">
        <v>363</v>
      </c>
      <c r="V16" s="13" t="s">
        <v>69</v>
      </c>
      <c r="W16" s="13" t="s">
        <v>69</v>
      </c>
      <c r="X16" s="13" t="s">
        <v>284</v>
      </c>
      <c r="Y16" s="13" t="s">
        <v>364</v>
      </c>
      <c r="Z16" s="13" t="s">
        <v>365</v>
      </c>
      <c r="AA16" s="13" t="s">
        <v>287</v>
      </c>
      <c r="AB16" s="13" t="s">
        <v>69</v>
      </c>
      <c r="AC16" s="18" t="s">
        <v>366</v>
      </c>
      <c r="AD16" s="13" t="s">
        <v>289</v>
      </c>
      <c r="AE16" s="18" t="s">
        <v>69</v>
      </c>
      <c r="AF16" s="18" t="s">
        <v>69</v>
      </c>
      <c r="AG16" s="13" t="s">
        <v>367</v>
      </c>
      <c r="AH16" s="13" t="s">
        <v>83</v>
      </c>
      <c r="AI16" s="13" t="s">
        <v>84</v>
      </c>
      <c r="AJ16" s="13" t="s">
        <v>69</v>
      </c>
      <c r="AK16" s="13" t="s">
        <v>368</v>
      </c>
      <c r="AL16" s="13" t="s">
        <v>369</v>
      </c>
      <c r="AM16" s="13" t="s">
        <v>69</v>
      </c>
      <c r="AN16" s="13" t="s">
        <v>69</v>
      </c>
      <c r="AO16" s="13" t="s">
        <v>370</v>
      </c>
      <c r="AP16" s="13" t="s">
        <v>358</v>
      </c>
      <c r="AQ16" s="13" t="s">
        <v>371</v>
      </c>
      <c r="AR16" s="13" t="s">
        <v>372</v>
      </c>
      <c r="AS16" s="13" t="s">
        <v>373</v>
      </c>
      <c r="AT16" s="13" t="s">
        <v>374</v>
      </c>
      <c r="AU16" s="13" t="s">
        <v>375</v>
      </c>
      <c r="AV16" s="13" t="s">
        <v>94</v>
      </c>
      <c r="AW16" s="13" t="s">
        <v>376</v>
      </c>
      <c r="AX16" s="13" t="s">
        <v>69</v>
      </c>
      <c r="AY16" s="13" t="s">
        <v>96</v>
      </c>
      <c r="AZ16" s="17" t="s">
        <v>69</v>
      </c>
      <c r="BA16" s="13" t="s">
        <v>126</v>
      </c>
      <c r="BB16" s="13" t="s">
        <v>98</v>
      </c>
      <c r="BC16" s="13" t="s">
        <v>99</v>
      </c>
      <c r="BD16" s="11" t="str">
        <f>HYPERLINK("http://corp.mobile.rakuten.co.jp","corp.mobile.rakuten.co.jp")</f>
        <v>corp.mobile.rakuten.co.jp</v>
      </c>
      <c r="BE16" s="11" t="str">
        <f>HYPERLINK("http://www.linkedin.com/company/rakuten-mobile-network-inc","http://www.linkedin.com/company/rakuten-mobile-network-inc")</f>
        <v>http://www.linkedin.com/company/rakuten-mobile-network-inc</v>
      </c>
      <c r="BF16" s="16">
        <v>1309</v>
      </c>
      <c r="BG16" s="13" t="s">
        <v>377</v>
      </c>
      <c r="BH16" s="13" t="s">
        <v>69</v>
      </c>
      <c r="BI16" s="13" t="s">
        <v>69</v>
      </c>
      <c r="BJ16" s="15">
        <v>2018</v>
      </c>
      <c r="BK16" s="13" t="s">
        <v>378</v>
      </c>
      <c r="BL16" s="14">
        <v>45560</v>
      </c>
      <c r="BM16" s="13" t="s">
        <v>69</v>
      </c>
      <c r="BN16" s="13" t="s">
        <v>69</v>
      </c>
      <c r="BO16" s="11" t="str">
        <f>HYPERLINK("https://my.pitchbook.com?c=338677-66","View Company Online")</f>
        <v>View Company Online</v>
      </c>
    </row>
    <row r="17" spans="1:67" x14ac:dyDescent="0.3">
      <c r="A17" s="3" t="s">
        <v>379</v>
      </c>
      <c r="B17" s="3" t="s">
        <v>380</v>
      </c>
      <c r="C17" s="3" t="s">
        <v>69</v>
      </c>
      <c r="D17" s="5" t="s">
        <v>69</v>
      </c>
      <c r="E17" s="3" t="s">
        <v>69</v>
      </c>
      <c r="F17" s="3" t="s">
        <v>69</v>
      </c>
      <c r="G17" s="3" t="s">
        <v>69</v>
      </c>
      <c r="H17" s="3" t="s">
        <v>69</v>
      </c>
      <c r="I17" s="4">
        <v>1270</v>
      </c>
      <c r="J17" s="7" t="s">
        <v>69</v>
      </c>
      <c r="K17" s="4" t="s">
        <v>69</v>
      </c>
      <c r="L17" s="4" t="s">
        <v>69</v>
      </c>
      <c r="M17" s="4" t="s">
        <v>69</v>
      </c>
      <c r="N17" s="4" t="s">
        <v>69</v>
      </c>
      <c r="O17" s="4" t="s">
        <v>69</v>
      </c>
      <c r="P17" s="4" t="s">
        <v>69</v>
      </c>
      <c r="Q17" s="4" t="s">
        <v>69</v>
      </c>
      <c r="R17" s="6" t="s">
        <v>381</v>
      </c>
      <c r="S17" s="3" t="s">
        <v>382</v>
      </c>
      <c r="T17" s="3" t="s">
        <v>383</v>
      </c>
      <c r="U17" s="3" t="s">
        <v>384</v>
      </c>
      <c r="V17" s="3" t="s">
        <v>385</v>
      </c>
      <c r="W17" s="3" t="s">
        <v>386</v>
      </c>
      <c r="X17" s="3" t="s">
        <v>387</v>
      </c>
      <c r="Y17" s="3" t="s">
        <v>388</v>
      </c>
      <c r="Z17" s="3" t="s">
        <v>389</v>
      </c>
      <c r="AA17" s="3" t="s">
        <v>390</v>
      </c>
      <c r="AB17" s="3" t="s">
        <v>69</v>
      </c>
      <c r="AC17" s="6" t="s">
        <v>69</v>
      </c>
      <c r="AD17" s="3" t="s">
        <v>391</v>
      </c>
      <c r="AE17" s="6" t="s">
        <v>386</v>
      </c>
      <c r="AF17" s="6" t="s">
        <v>392</v>
      </c>
      <c r="AG17" s="3" t="s">
        <v>393</v>
      </c>
      <c r="AH17" s="3" t="s">
        <v>394</v>
      </c>
      <c r="AI17" s="3" t="s">
        <v>394</v>
      </c>
      <c r="AJ17" s="3" t="s">
        <v>69</v>
      </c>
      <c r="AK17" s="3" t="s">
        <v>395</v>
      </c>
      <c r="AL17" s="3" t="s">
        <v>396</v>
      </c>
      <c r="AM17" s="3" t="s">
        <v>69</v>
      </c>
      <c r="AN17" s="3" t="s">
        <v>69</v>
      </c>
      <c r="AO17" s="3" t="s">
        <v>69</v>
      </c>
      <c r="AP17" s="3" t="s">
        <v>379</v>
      </c>
      <c r="AQ17" s="3" t="s">
        <v>397</v>
      </c>
      <c r="AR17" s="3" t="s">
        <v>398</v>
      </c>
      <c r="AS17" s="3" t="s">
        <v>399</v>
      </c>
      <c r="AT17" s="3" t="s">
        <v>400</v>
      </c>
      <c r="AU17" s="3" t="s">
        <v>401</v>
      </c>
      <c r="AV17" s="3" t="s">
        <v>69</v>
      </c>
      <c r="AW17" s="3" t="s">
        <v>402</v>
      </c>
      <c r="AX17" s="3" t="s">
        <v>69</v>
      </c>
      <c r="AY17" s="3" t="s">
        <v>96</v>
      </c>
      <c r="AZ17" s="8" t="s">
        <v>69</v>
      </c>
      <c r="BA17" s="3" t="s">
        <v>126</v>
      </c>
      <c r="BB17" s="3" t="s">
        <v>98</v>
      </c>
      <c r="BC17" s="3" t="s">
        <v>99</v>
      </c>
      <c r="BD17" s="12" t="str">
        <f>HYPERLINK("http://www.westerninternationalllc.com","www.westerninternationalllc.com")</f>
        <v>www.westerninternationalllc.com</v>
      </c>
      <c r="BE17" s="12" t="str">
        <f>HYPERLINK("http://www.linkedin.com/company/western-international-group","http://www.linkedin.com/company/western-international-group")</f>
        <v>http://www.linkedin.com/company/western-international-group</v>
      </c>
      <c r="BF17" s="9">
        <v>10000</v>
      </c>
      <c r="BG17" s="3" t="s">
        <v>403</v>
      </c>
      <c r="BH17" s="3" t="s">
        <v>69</v>
      </c>
      <c r="BI17" s="3" t="s">
        <v>69</v>
      </c>
      <c r="BJ17" s="10">
        <v>1963</v>
      </c>
      <c r="BK17" s="3" t="s">
        <v>69</v>
      </c>
      <c r="BL17" s="1">
        <v>45562</v>
      </c>
      <c r="BM17" s="3" t="s">
        <v>69</v>
      </c>
      <c r="BN17" s="3" t="s">
        <v>69</v>
      </c>
      <c r="BO17" s="12" t="str">
        <f>HYPERLINK("https://my.pitchbook.com?c=436536-91","View Company Online")</f>
        <v>View Company Online</v>
      </c>
    </row>
    <row r="18" spans="1:67" x14ac:dyDescent="0.3">
      <c r="A18" s="13" t="s">
        <v>404</v>
      </c>
      <c r="B18" s="13" t="s">
        <v>405</v>
      </c>
      <c r="C18" s="13" t="s">
        <v>69</v>
      </c>
      <c r="D18" s="21" t="s">
        <v>69</v>
      </c>
      <c r="E18" s="13" t="s">
        <v>69</v>
      </c>
      <c r="F18" s="13" t="s">
        <v>69</v>
      </c>
      <c r="G18" s="13" t="s">
        <v>69</v>
      </c>
      <c r="H18" s="13" t="s">
        <v>69</v>
      </c>
      <c r="I18" s="19">
        <v>1061.6099999999999</v>
      </c>
      <c r="J18" s="20" t="s">
        <v>69</v>
      </c>
      <c r="K18" s="19" t="s">
        <v>69</v>
      </c>
      <c r="L18" s="19" t="s">
        <v>69</v>
      </c>
      <c r="M18" s="19" t="s">
        <v>69</v>
      </c>
      <c r="N18" s="19" t="s">
        <v>69</v>
      </c>
      <c r="O18" s="19" t="s">
        <v>69</v>
      </c>
      <c r="P18" s="19" t="s">
        <v>69</v>
      </c>
      <c r="Q18" s="19" t="s">
        <v>69</v>
      </c>
      <c r="R18" s="18" t="s">
        <v>406</v>
      </c>
      <c r="S18" s="13" t="s">
        <v>69</v>
      </c>
      <c r="T18" s="13" t="s">
        <v>69</v>
      </c>
      <c r="U18" s="13" t="s">
        <v>69</v>
      </c>
      <c r="V18" s="13" t="s">
        <v>69</v>
      </c>
      <c r="W18" s="13" t="s">
        <v>69</v>
      </c>
      <c r="X18" s="13" t="s">
        <v>407</v>
      </c>
      <c r="Y18" s="13" t="s">
        <v>69</v>
      </c>
      <c r="Z18" s="13" t="s">
        <v>69</v>
      </c>
      <c r="AA18" s="13" t="s">
        <v>408</v>
      </c>
      <c r="AB18" s="13" t="s">
        <v>409</v>
      </c>
      <c r="AC18" s="18" t="s">
        <v>410</v>
      </c>
      <c r="AD18" s="13" t="s">
        <v>177</v>
      </c>
      <c r="AE18" s="18" t="s">
        <v>411</v>
      </c>
      <c r="AF18" s="18" t="s">
        <v>412</v>
      </c>
      <c r="AG18" s="13" t="s">
        <v>69</v>
      </c>
      <c r="AH18" s="13" t="s">
        <v>178</v>
      </c>
      <c r="AI18" s="13" t="s">
        <v>179</v>
      </c>
      <c r="AJ18" s="13" t="s">
        <v>69</v>
      </c>
      <c r="AK18" s="13" t="s">
        <v>69</v>
      </c>
      <c r="AL18" s="13" t="s">
        <v>69</v>
      </c>
      <c r="AM18" s="13" t="s">
        <v>69</v>
      </c>
      <c r="AN18" s="13" t="s">
        <v>69</v>
      </c>
      <c r="AO18" s="13" t="s">
        <v>69</v>
      </c>
      <c r="AP18" s="13" t="s">
        <v>404</v>
      </c>
      <c r="AQ18" s="13" t="s">
        <v>413</v>
      </c>
      <c r="AR18" s="13" t="s">
        <v>372</v>
      </c>
      <c r="AS18" s="13" t="s">
        <v>414</v>
      </c>
      <c r="AT18" s="13" t="s">
        <v>415</v>
      </c>
      <c r="AU18" s="13" t="s">
        <v>416</v>
      </c>
      <c r="AV18" s="13" t="s">
        <v>69</v>
      </c>
      <c r="AW18" s="13" t="s">
        <v>417</v>
      </c>
      <c r="AX18" s="13" t="s">
        <v>69</v>
      </c>
      <c r="AY18" s="13" t="s">
        <v>96</v>
      </c>
      <c r="AZ18" s="17" t="s">
        <v>69</v>
      </c>
      <c r="BA18" s="13" t="s">
        <v>126</v>
      </c>
      <c r="BB18" s="13" t="s">
        <v>98</v>
      </c>
      <c r="BC18" s="13" t="s">
        <v>99</v>
      </c>
      <c r="BD18" s="11" t="str">
        <f>HYPERLINK("http://aiawhv.org","aiawhv.org")</f>
        <v>aiawhv.org</v>
      </c>
      <c r="BE18" s="11" t="str">
        <f>HYPERLINK("http://www.linkedin.com/company/aia-westchester-hudson-valley","http://www.linkedin.com/company/aia-westchester-hudson-valley")</f>
        <v>http://www.linkedin.com/company/aia-westchester-hudson-valley</v>
      </c>
      <c r="BF18" s="16">
        <v>6</v>
      </c>
      <c r="BG18" s="13" t="s">
        <v>418</v>
      </c>
      <c r="BH18" s="13" t="s">
        <v>69</v>
      </c>
      <c r="BI18" s="13" t="s">
        <v>69</v>
      </c>
      <c r="BJ18" s="15">
        <v>2020</v>
      </c>
      <c r="BK18" s="13" t="s">
        <v>69</v>
      </c>
      <c r="BL18" s="14">
        <v>45135</v>
      </c>
      <c r="BM18" s="13" t="s">
        <v>69</v>
      </c>
      <c r="BN18" s="13" t="s">
        <v>69</v>
      </c>
      <c r="BO18" s="11" t="str">
        <f>HYPERLINK("https://my.pitchbook.com?c=306487-63","View Company Online")</f>
        <v>View Company Online</v>
      </c>
    </row>
    <row r="19" spans="1:67" x14ac:dyDescent="0.3">
      <c r="A19" s="3" t="s">
        <v>419</v>
      </c>
      <c r="B19" s="3" t="s">
        <v>420</v>
      </c>
      <c r="C19" s="3" t="s">
        <v>69</v>
      </c>
      <c r="D19" s="5" t="s">
        <v>69</v>
      </c>
      <c r="E19" s="3" t="s">
        <v>69</v>
      </c>
      <c r="F19" s="3" t="s">
        <v>69</v>
      </c>
      <c r="G19" s="3" t="s">
        <v>69</v>
      </c>
      <c r="H19" s="3" t="s">
        <v>69</v>
      </c>
      <c r="I19" s="4">
        <v>984.63</v>
      </c>
      <c r="J19" s="7">
        <v>77.52</v>
      </c>
      <c r="K19" s="4" t="s">
        <v>69</v>
      </c>
      <c r="L19" s="4" t="s">
        <v>69</v>
      </c>
      <c r="M19" s="4" t="s">
        <v>69</v>
      </c>
      <c r="N19" s="4" t="s">
        <v>69</v>
      </c>
      <c r="O19" s="4" t="s">
        <v>69</v>
      </c>
      <c r="P19" s="4" t="s">
        <v>69</v>
      </c>
      <c r="Q19" s="4" t="s">
        <v>69</v>
      </c>
      <c r="R19" s="6" t="s">
        <v>230</v>
      </c>
      <c r="S19" s="3" t="s">
        <v>421</v>
      </c>
      <c r="T19" s="3" t="s">
        <v>422</v>
      </c>
      <c r="U19" s="3" t="s">
        <v>233</v>
      </c>
      <c r="V19" s="3" t="s">
        <v>69</v>
      </c>
      <c r="W19" s="3" t="s">
        <v>69</v>
      </c>
      <c r="X19" s="3" t="s">
        <v>423</v>
      </c>
      <c r="Y19" s="3" t="s">
        <v>424</v>
      </c>
      <c r="Z19" s="3" t="s">
        <v>425</v>
      </c>
      <c r="AA19" s="3" t="s">
        <v>426</v>
      </c>
      <c r="AB19" s="3" t="s">
        <v>427</v>
      </c>
      <c r="AC19" s="6" t="s">
        <v>69</v>
      </c>
      <c r="AD19" s="3" t="s">
        <v>289</v>
      </c>
      <c r="AE19" s="6" t="s">
        <v>69</v>
      </c>
      <c r="AF19" s="6" t="s">
        <v>69</v>
      </c>
      <c r="AG19" s="3" t="s">
        <v>69</v>
      </c>
      <c r="AH19" s="3" t="s">
        <v>83</v>
      </c>
      <c r="AI19" s="3" t="s">
        <v>84</v>
      </c>
      <c r="AJ19" s="3" t="s">
        <v>69</v>
      </c>
      <c r="AK19" s="3" t="s">
        <v>69</v>
      </c>
      <c r="AL19" s="3" t="s">
        <v>428</v>
      </c>
      <c r="AM19" s="3" t="s">
        <v>69</v>
      </c>
      <c r="AN19" s="3" t="s">
        <v>69</v>
      </c>
      <c r="AO19" s="3" t="s">
        <v>69</v>
      </c>
      <c r="AP19" s="3" t="s">
        <v>419</v>
      </c>
      <c r="AQ19" s="3" t="s">
        <v>429</v>
      </c>
      <c r="AR19" s="3" t="s">
        <v>90</v>
      </c>
      <c r="AS19" s="3" t="s">
        <v>337</v>
      </c>
      <c r="AT19" s="3" t="s">
        <v>338</v>
      </c>
      <c r="AU19" s="3" t="s">
        <v>430</v>
      </c>
      <c r="AV19" s="3" t="s">
        <v>69</v>
      </c>
      <c r="AW19" s="3" t="s">
        <v>431</v>
      </c>
      <c r="AX19" s="3" t="s">
        <v>69</v>
      </c>
      <c r="AY19" s="3" t="s">
        <v>96</v>
      </c>
      <c r="AZ19" s="8" t="s">
        <v>69</v>
      </c>
      <c r="BA19" s="3" t="s">
        <v>126</v>
      </c>
      <c r="BB19" s="3" t="s">
        <v>98</v>
      </c>
      <c r="BC19" s="3" t="s">
        <v>99</v>
      </c>
      <c r="BD19" s="12" t="str">
        <f>HYPERLINK("http://www.e-fran.jp","www.e-fran.jp")</f>
        <v>www.e-fran.jp</v>
      </c>
      <c r="BE19" s="3" t="s">
        <v>69</v>
      </c>
      <c r="BF19" s="9">
        <v>1336</v>
      </c>
      <c r="BG19" s="3" t="s">
        <v>432</v>
      </c>
      <c r="BH19" s="3" t="s">
        <v>69</v>
      </c>
      <c r="BI19" s="3" t="s">
        <v>69</v>
      </c>
      <c r="BJ19" s="10">
        <v>2000</v>
      </c>
      <c r="BK19" s="3" t="s">
        <v>69</v>
      </c>
      <c r="BL19" s="1">
        <v>45479</v>
      </c>
      <c r="BM19" s="3" t="s">
        <v>69</v>
      </c>
      <c r="BN19" s="3" t="s">
        <v>69</v>
      </c>
      <c r="BO19" s="12" t="str">
        <f>HYPERLINK("https://my.pitchbook.com?c=607797-46","View Company Online")</f>
        <v>View Company Online</v>
      </c>
    </row>
    <row r="20" spans="1:67" x14ac:dyDescent="0.3">
      <c r="A20" s="13" t="s">
        <v>433</v>
      </c>
      <c r="B20" s="13" t="s">
        <v>434</v>
      </c>
      <c r="C20" s="13" t="s">
        <v>69</v>
      </c>
      <c r="D20" s="21" t="s">
        <v>69</v>
      </c>
      <c r="E20" s="13" t="s">
        <v>69</v>
      </c>
      <c r="F20" s="13" t="s">
        <v>69</v>
      </c>
      <c r="G20" s="13" t="s">
        <v>69</v>
      </c>
      <c r="H20" s="13" t="s">
        <v>69</v>
      </c>
      <c r="I20" s="19">
        <v>955.44</v>
      </c>
      <c r="J20" s="20">
        <v>-39.880000000000003</v>
      </c>
      <c r="K20" s="19" t="s">
        <v>69</v>
      </c>
      <c r="L20" s="19">
        <v>8.7100000000000009</v>
      </c>
      <c r="M20" s="19" t="s">
        <v>69</v>
      </c>
      <c r="N20" s="19">
        <v>18.829999999999998</v>
      </c>
      <c r="O20" s="19">
        <v>14.97</v>
      </c>
      <c r="P20" s="19" t="s">
        <v>69</v>
      </c>
      <c r="Q20" s="19">
        <v>0</v>
      </c>
      <c r="R20" s="18" t="s">
        <v>70</v>
      </c>
      <c r="S20" s="13" t="s">
        <v>435</v>
      </c>
      <c r="T20" s="13" t="s">
        <v>436</v>
      </c>
      <c r="U20" s="13" t="s">
        <v>437</v>
      </c>
      <c r="V20" s="13" t="s">
        <v>438</v>
      </c>
      <c r="W20" s="13" t="s">
        <v>439</v>
      </c>
      <c r="X20" s="13" t="s">
        <v>440</v>
      </c>
      <c r="Y20" s="13" t="s">
        <v>441</v>
      </c>
      <c r="Z20" s="13" t="s">
        <v>69</v>
      </c>
      <c r="AA20" s="13" t="s">
        <v>442</v>
      </c>
      <c r="AB20" s="13" t="s">
        <v>443</v>
      </c>
      <c r="AC20" s="18" t="s">
        <v>444</v>
      </c>
      <c r="AD20" s="13" t="s">
        <v>445</v>
      </c>
      <c r="AE20" s="18" t="s">
        <v>439</v>
      </c>
      <c r="AF20" s="18" t="s">
        <v>446</v>
      </c>
      <c r="AG20" s="13" t="s">
        <v>447</v>
      </c>
      <c r="AH20" s="13" t="s">
        <v>113</v>
      </c>
      <c r="AI20" s="13" t="s">
        <v>114</v>
      </c>
      <c r="AJ20" s="13" t="s">
        <v>69</v>
      </c>
      <c r="AK20" s="13" t="s">
        <v>448</v>
      </c>
      <c r="AL20" s="13" t="s">
        <v>449</v>
      </c>
      <c r="AM20" s="13" t="s">
        <v>450</v>
      </c>
      <c r="AN20" s="13" t="s">
        <v>451</v>
      </c>
      <c r="AO20" s="13" t="s">
        <v>69</v>
      </c>
      <c r="AP20" s="13" t="s">
        <v>433</v>
      </c>
      <c r="AQ20" s="13" t="s">
        <v>452</v>
      </c>
      <c r="AR20" s="13" t="s">
        <v>453</v>
      </c>
      <c r="AS20" s="13" t="s">
        <v>454</v>
      </c>
      <c r="AT20" s="13" t="s">
        <v>455</v>
      </c>
      <c r="AU20" s="13" t="s">
        <v>456</v>
      </c>
      <c r="AV20" s="13" t="s">
        <v>201</v>
      </c>
      <c r="AW20" s="13" t="s">
        <v>457</v>
      </c>
      <c r="AX20" s="13" t="s">
        <v>69</v>
      </c>
      <c r="AY20" s="13" t="s">
        <v>96</v>
      </c>
      <c r="AZ20" s="17" t="s">
        <v>69</v>
      </c>
      <c r="BA20" s="13" t="s">
        <v>126</v>
      </c>
      <c r="BB20" s="13" t="s">
        <v>98</v>
      </c>
      <c r="BC20" s="13" t="s">
        <v>99</v>
      </c>
      <c r="BD20" s="11" t="str">
        <f>HYPERLINK("http://www.degussa-goldhandel.de","www.degussa-goldhandel.de")</f>
        <v>www.degussa-goldhandel.de</v>
      </c>
      <c r="BE20" s="11" t="str">
        <f>HYPERLINK("http://www.linkedin.com/company/degussa-goldhandel-gmbh","http://www.linkedin.com/company/degussa-goldhandel-gmbh")</f>
        <v>http://www.linkedin.com/company/degussa-goldhandel-gmbh</v>
      </c>
      <c r="BF20" s="16">
        <v>220</v>
      </c>
      <c r="BG20" s="13" t="s">
        <v>458</v>
      </c>
      <c r="BH20" s="13" t="s">
        <v>69</v>
      </c>
      <c r="BI20" s="13" t="s">
        <v>69</v>
      </c>
      <c r="BJ20" s="15">
        <v>2010</v>
      </c>
      <c r="BK20" s="13" t="s">
        <v>69</v>
      </c>
      <c r="BL20" s="14">
        <v>45715</v>
      </c>
      <c r="BM20" s="13" t="s">
        <v>69</v>
      </c>
      <c r="BN20" s="13" t="s">
        <v>69</v>
      </c>
      <c r="BO20" s="11" t="str">
        <f>HYPERLINK("https://my.pitchbook.com?c=219347-92","View Company Online")</f>
        <v>View Company Online</v>
      </c>
    </row>
    <row r="21" spans="1:67" x14ac:dyDescent="0.3">
      <c r="A21" s="3" t="s">
        <v>459</v>
      </c>
      <c r="B21" s="3" t="s">
        <v>460</v>
      </c>
      <c r="C21" s="3" t="s">
        <v>69</v>
      </c>
      <c r="D21" s="5" t="s">
        <v>69</v>
      </c>
      <c r="E21" s="3" t="s">
        <v>69</v>
      </c>
      <c r="F21" s="3" t="s">
        <v>69</v>
      </c>
      <c r="G21" s="3" t="s">
        <v>69</v>
      </c>
      <c r="H21" s="3" t="s">
        <v>69</v>
      </c>
      <c r="I21" s="4">
        <v>851.75</v>
      </c>
      <c r="J21" s="7">
        <v>12.67</v>
      </c>
      <c r="K21" s="4">
        <v>131.12</v>
      </c>
      <c r="L21" s="4">
        <v>62</v>
      </c>
      <c r="M21" s="4" t="s">
        <v>69</v>
      </c>
      <c r="N21" s="4">
        <v>83.48</v>
      </c>
      <c r="O21" s="4">
        <v>81.260000000000005</v>
      </c>
      <c r="P21" s="4" t="s">
        <v>69</v>
      </c>
      <c r="Q21" s="4">
        <v>0</v>
      </c>
      <c r="R21" s="6" t="s">
        <v>70</v>
      </c>
      <c r="S21" s="3" t="s">
        <v>153</v>
      </c>
      <c r="T21" s="3" t="s">
        <v>154</v>
      </c>
      <c r="U21" s="3" t="s">
        <v>461</v>
      </c>
      <c r="V21" s="3" t="s">
        <v>69</v>
      </c>
      <c r="W21" s="3" t="s">
        <v>156</v>
      </c>
      <c r="X21" s="3" t="s">
        <v>107</v>
      </c>
      <c r="Y21" s="3" t="s">
        <v>462</v>
      </c>
      <c r="Z21" s="3" t="s">
        <v>69</v>
      </c>
      <c r="AA21" s="3" t="s">
        <v>109</v>
      </c>
      <c r="AB21" s="3" t="s">
        <v>110</v>
      </c>
      <c r="AC21" s="6" t="s">
        <v>463</v>
      </c>
      <c r="AD21" s="3" t="s">
        <v>112</v>
      </c>
      <c r="AE21" s="6" t="s">
        <v>464</v>
      </c>
      <c r="AF21" s="6" t="s">
        <v>69</v>
      </c>
      <c r="AG21" s="3" t="s">
        <v>465</v>
      </c>
      <c r="AH21" s="3" t="s">
        <v>113</v>
      </c>
      <c r="AI21" s="3" t="s">
        <v>114</v>
      </c>
      <c r="AJ21" s="3" t="s">
        <v>69</v>
      </c>
      <c r="AK21" s="3" t="s">
        <v>151</v>
      </c>
      <c r="AL21" s="3" t="s">
        <v>466</v>
      </c>
      <c r="AM21" s="3" t="s">
        <v>467</v>
      </c>
      <c r="AN21" s="3" t="s">
        <v>118</v>
      </c>
      <c r="AO21" s="3" t="s">
        <v>468</v>
      </c>
      <c r="AP21" s="3" t="s">
        <v>459</v>
      </c>
      <c r="AQ21" s="3" t="s">
        <v>469</v>
      </c>
      <c r="AR21" s="3" t="s">
        <v>90</v>
      </c>
      <c r="AS21" s="3" t="s">
        <v>121</v>
      </c>
      <c r="AT21" s="3" t="s">
        <v>470</v>
      </c>
      <c r="AU21" s="3" t="s">
        <v>471</v>
      </c>
      <c r="AV21" s="3" t="s">
        <v>472</v>
      </c>
      <c r="AW21" s="3" t="s">
        <v>473</v>
      </c>
      <c r="AX21" s="3" t="s">
        <v>69</v>
      </c>
      <c r="AY21" s="3" t="s">
        <v>96</v>
      </c>
      <c r="AZ21" s="8" t="s">
        <v>69</v>
      </c>
      <c r="BA21" s="3" t="s">
        <v>126</v>
      </c>
      <c r="BB21" s="3" t="s">
        <v>98</v>
      </c>
      <c r="BC21" s="3" t="s">
        <v>99</v>
      </c>
      <c r="BD21" s="12" t="str">
        <f>HYPERLINK("http://www.rolex.co.uk","www.rolex.co.uk")</f>
        <v>www.rolex.co.uk</v>
      </c>
      <c r="BE21" s="3" t="s">
        <v>69</v>
      </c>
      <c r="BF21" s="9">
        <v>4536</v>
      </c>
      <c r="BG21" s="3" t="s">
        <v>474</v>
      </c>
      <c r="BH21" s="3" t="s">
        <v>69</v>
      </c>
      <c r="BI21" s="3" t="s">
        <v>69</v>
      </c>
      <c r="BJ21" s="10">
        <v>1905</v>
      </c>
      <c r="BK21" s="3" t="s">
        <v>69</v>
      </c>
      <c r="BL21" s="1">
        <v>44342</v>
      </c>
      <c r="BM21" s="3" t="s">
        <v>69</v>
      </c>
      <c r="BN21" s="3" t="s">
        <v>69</v>
      </c>
      <c r="BO21" s="12" t="str">
        <f>HYPERLINK("https://my.pitchbook.com?c=225105-31","View Company Online")</f>
        <v>View Company Online</v>
      </c>
    </row>
    <row r="22" spans="1:67" x14ac:dyDescent="0.3">
      <c r="A22" s="13" t="s">
        <v>475</v>
      </c>
      <c r="B22" s="13" t="s">
        <v>476</v>
      </c>
      <c r="C22" s="13" t="s">
        <v>477</v>
      </c>
      <c r="D22" s="21" t="s">
        <v>69</v>
      </c>
      <c r="E22" s="13" t="s">
        <v>69</v>
      </c>
      <c r="F22" s="13" t="s">
        <v>69</v>
      </c>
      <c r="G22" s="13" t="s">
        <v>69</v>
      </c>
      <c r="H22" s="13" t="s">
        <v>69</v>
      </c>
      <c r="I22" s="19">
        <v>757.36</v>
      </c>
      <c r="J22" s="20" t="s">
        <v>69</v>
      </c>
      <c r="K22" s="19" t="s">
        <v>69</v>
      </c>
      <c r="L22" s="19" t="s">
        <v>69</v>
      </c>
      <c r="M22" s="19" t="s">
        <v>69</v>
      </c>
      <c r="N22" s="19" t="s">
        <v>69</v>
      </c>
      <c r="O22" s="19" t="s">
        <v>69</v>
      </c>
      <c r="P22" s="19" t="s">
        <v>69</v>
      </c>
      <c r="Q22" s="19" t="s">
        <v>69</v>
      </c>
      <c r="R22" s="18" t="s">
        <v>321</v>
      </c>
      <c r="S22" s="13" t="s">
        <v>478</v>
      </c>
      <c r="T22" s="13" t="s">
        <v>479</v>
      </c>
      <c r="U22" s="13" t="s">
        <v>480</v>
      </c>
      <c r="V22" s="13" t="s">
        <v>481</v>
      </c>
      <c r="W22" s="13" t="s">
        <v>482</v>
      </c>
      <c r="X22" s="13" t="s">
        <v>483</v>
      </c>
      <c r="Y22" s="13" t="s">
        <v>484</v>
      </c>
      <c r="Z22" s="13" t="s">
        <v>485</v>
      </c>
      <c r="AA22" s="13" t="s">
        <v>486</v>
      </c>
      <c r="AB22" s="13" t="s">
        <v>69</v>
      </c>
      <c r="AC22" s="18" t="s">
        <v>487</v>
      </c>
      <c r="AD22" s="13" t="s">
        <v>161</v>
      </c>
      <c r="AE22" s="18" t="s">
        <v>482</v>
      </c>
      <c r="AF22" s="18" t="s">
        <v>69</v>
      </c>
      <c r="AG22" s="13" t="s">
        <v>488</v>
      </c>
      <c r="AH22" s="13" t="s">
        <v>113</v>
      </c>
      <c r="AI22" s="13" t="s">
        <v>114</v>
      </c>
      <c r="AJ22" s="13" t="s">
        <v>69</v>
      </c>
      <c r="AK22" s="13" t="s">
        <v>489</v>
      </c>
      <c r="AL22" s="13" t="s">
        <v>490</v>
      </c>
      <c r="AM22" s="13" t="s">
        <v>69</v>
      </c>
      <c r="AN22" s="13" t="s">
        <v>69</v>
      </c>
      <c r="AO22" s="13" t="s">
        <v>69</v>
      </c>
      <c r="AP22" s="13" t="s">
        <v>475</v>
      </c>
      <c r="AQ22" s="13" t="s">
        <v>491</v>
      </c>
      <c r="AR22" s="13" t="s">
        <v>90</v>
      </c>
      <c r="AS22" s="13" t="s">
        <v>121</v>
      </c>
      <c r="AT22" s="13" t="s">
        <v>470</v>
      </c>
      <c r="AU22" s="13" t="s">
        <v>471</v>
      </c>
      <c r="AV22" s="13" t="s">
        <v>201</v>
      </c>
      <c r="AW22" s="13" t="s">
        <v>492</v>
      </c>
      <c r="AX22" s="13" t="s">
        <v>69</v>
      </c>
      <c r="AY22" s="13" t="s">
        <v>96</v>
      </c>
      <c r="AZ22" s="17" t="s">
        <v>69</v>
      </c>
      <c r="BA22" s="13" t="s">
        <v>126</v>
      </c>
      <c r="BB22" s="13" t="s">
        <v>98</v>
      </c>
      <c r="BC22" s="13" t="s">
        <v>99</v>
      </c>
      <c r="BD22" s="11" t="str">
        <f>HYPERLINK("http://www.jaeger-lecoultre.com","www.jaeger-lecoultre.com")</f>
        <v>www.jaeger-lecoultre.com</v>
      </c>
      <c r="BE22" s="11" t="str">
        <f>HYPERLINK("http://www.linkedin.com/company/jaeger-lecoultre","http://www.linkedin.com/company/jaeger-lecoultre")</f>
        <v>http://www.linkedin.com/company/jaeger-lecoultre</v>
      </c>
      <c r="BF22" s="16">
        <v>959</v>
      </c>
      <c r="BG22" s="13" t="s">
        <v>493</v>
      </c>
      <c r="BH22" s="13" t="s">
        <v>69</v>
      </c>
      <c r="BI22" s="13" t="s">
        <v>69</v>
      </c>
      <c r="BJ22" s="15">
        <v>1833</v>
      </c>
      <c r="BK22" s="13" t="s">
        <v>69</v>
      </c>
      <c r="BL22" s="14">
        <v>45762</v>
      </c>
      <c r="BM22" s="13" t="s">
        <v>69</v>
      </c>
      <c r="BN22" s="13" t="s">
        <v>69</v>
      </c>
      <c r="BO22" s="11" t="str">
        <f>HYPERLINK("https://my.pitchbook.com?c=118228-78","View Company Online")</f>
        <v>View Company Online</v>
      </c>
    </row>
    <row r="23" spans="1:67" x14ac:dyDescent="0.3">
      <c r="A23" s="3" t="s">
        <v>494</v>
      </c>
      <c r="B23" s="3" t="s">
        <v>495</v>
      </c>
      <c r="C23" s="3" t="s">
        <v>69</v>
      </c>
      <c r="D23" s="5" t="s">
        <v>69</v>
      </c>
      <c r="E23" s="3" t="s">
        <v>69</v>
      </c>
      <c r="F23" s="3" t="s">
        <v>69</v>
      </c>
      <c r="G23" s="3" t="s">
        <v>69</v>
      </c>
      <c r="H23" s="3" t="s">
        <v>69</v>
      </c>
      <c r="I23" s="4">
        <v>753.95</v>
      </c>
      <c r="J23" s="7">
        <v>16.14</v>
      </c>
      <c r="K23" s="4" t="s">
        <v>69</v>
      </c>
      <c r="L23" s="4">
        <v>17.47</v>
      </c>
      <c r="M23" s="4" t="s">
        <v>69</v>
      </c>
      <c r="N23" s="4">
        <v>34.53</v>
      </c>
      <c r="O23" s="4">
        <v>21.81</v>
      </c>
      <c r="P23" s="4" t="s">
        <v>69</v>
      </c>
      <c r="Q23" s="4">
        <v>0</v>
      </c>
      <c r="R23" s="6" t="s">
        <v>321</v>
      </c>
      <c r="S23" s="3" t="s">
        <v>496</v>
      </c>
      <c r="T23" s="3" t="s">
        <v>497</v>
      </c>
      <c r="U23" s="3" t="s">
        <v>498</v>
      </c>
      <c r="V23" s="3" t="s">
        <v>69</v>
      </c>
      <c r="W23" s="3" t="s">
        <v>499</v>
      </c>
      <c r="X23" s="3" t="s">
        <v>500</v>
      </c>
      <c r="Y23" s="3" t="s">
        <v>501</v>
      </c>
      <c r="Z23" s="3" t="s">
        <v>69</v>
      </c>
      <c r="AA23" s="3" t="s">
        <v>502</v>
      </c>
      <c r="AB23" s="3" t="s">
        <v>69</v>
      </c>
      <c r="AC23" s="6" t="s">
        <v>503</v>
      </c>
      <c r="AD23" s="3" t="s">
        <v>445</v>
      </c>
      <c r="AE23" s="6" t="s">
        <v>499</v>
      </c>
      <c r="AF23" s="6" t="s">
        <v>69</v>
      </c>
      <c r="AG23" s="3" t="s">
        <v>504</v>
      </c>
      <c r="AH23" s="3" t="s">
        <v>113</v>
      </c>
      <c r="AI23" s="3" t="s">
        <v>114</v>
      </c>
      <c r="AJ23" s="3" t="s">
        <v>69</v>
      </c>
      <c r="AK23" s="3" t="s">
        <v>69</v>
      </c>
      <c r="AL23" s="3" t="s">
        <v>505</v>
      </c>
      <c r="AM23" s="3" t="s">
        <v>506</v>
      </c>
      <c r="AN23" s="3" t="s">
        <v>507</v>
      </c>
      <c r="AO23" s="3" t="s">
        <v>508</v>
      </c>
      <c r="AP23" s="3" t="s">
        <v>494</v>
      </c>
      <c r="AQ23" s="3" t="s">
        <v>509</v>
      </c>
      <c r="AR23" s="3" t="s">
        <v>90</v>
      </c>
      <c r="AS23" s="3" t="s">
        <v>510</v>
      </c>
      <c r="AT23" s="3" t="s">
        <v>511</v>
      </c>
      <c r="AU23" s="3" t="s">
        <v>512</v>
      </c>
      <c r="AV23" s="3" t="s">
        <v>513</v>
      </c>
      <c r="AW23" s="3" t="s">
        <v>514</v>
      </c>
      <c r="AX23" s="3" t="s">
        <v>69</v>
      </c>
      <c r="AY23" s="3" t="s">
        <v>96</v>
      </c>
      <c r="AZ23" s="8" t="s">
        <v>69</v>
      </c>
      <c r="BA23" s="3" t="s">
        <v>126</v>
      </c>
      <c r="BB23" s="3" t="s">
        <v>98</v>
      </c>
      <c r="BC23" s="3" t="s">
        <v>99</v>
      </c>
      <c r="BD23" s="12" t="str">
        <f>HYPERLINK("http://de.hama.com","de.hama.com")</f>
        <v>de.hama.com</v>
      </c>
      <c r="BE23" s="12" t="str">
        <f>HYPERLINK("http://www.linkedin.com/company/hama-deutschland","http://www.linkedin.com/company/hama-deutschland")</f>
        <v>http://www.linkedin.com/company/hama-deutschland</v>
      </c>
      <c r="BF23" s="9">
        <v>2533</v>
      </c>
      <c r="BG23" s="3" t="s">
        <v>515</v>
      </c>
      <c r="BH23" s="3" t="s">
        <v>69</v>
      </c>
      <c r="BI23" s="3" t="s">
        <v>69</v>
      </c>
      <c r="BJ23" s="10">
        <v>1923</v>
      </c>
      <c r="BK23" s="3" t="s">
        <v>69</v>
      </c>
      <c r="BL23" s="1">
        <v>45721</v>
      </c>
      <c r="BM23" s="3" t="s">
        <v>69</v>
      </c>
      <c r="BN23" s="3" t="s">
        <v>69</v>
      </c>
      <c r="BO23" s="12" t="str">
        <f>HYPERLINK("https://my.pitchbook.com?c=225035-20","View Company Online")</f>
        <v>View Company Online</v>
      </c>
    </row>
    <row r="24" spans="1:67" x14ac:dyDescent="0.3">
      <c r="A24" s="13" t="s">
        <v>516</v>
      </c>
      <c r="B24" s="13" t="s">
        <v>517</v>
      </c>
      <c r="C24" s="13" t="s">
        <v>69</v>
      </c>
      <c r="D24" s="21" t="s">
        <v>69</v>
      </c>
      <c r="E24" s="13" t="s">
        <v>69</v>
      </c>
      <c r="F24" s="13" t="s">
        <v>69</v>
      </c>
      <c r="G24" s="13" t="s">
        <v>69</v>
      </c>
      <c r="H24" s="13" t="s">
        <v>69</v>
      </c>
      <c r="I24" s="19">
        <v>696.98</v>
      </c>
      <c r="J24" s="20">
        <v>-21.62</v>
      </c>
      <c r="K24" s="19" t="s">
        <v>69</v>
      </c>
      <c r="L24" s="19">
        <v>0.76</v>
      </c>
      <c r="M24" s="19" t="s">
        <v>69</v>
      </c>
      <c r="N24" s="19">
        <v>1.87</v>
      </c>
      <c r="O24" s="19">
        <v>1.41</v>
      </c>
      <c r="P24" s="19" t="s">
        <v>69</v>
      </c>
      <c r="Q24" s="19">
        <v>0</v>
      </c>
      <c r="R24" s="18" t="s">
        <v>70</v>
      </c>
      <c r="S24" s="13" t="s">
        <v>518</v>
      </c>
      <c r="T24" s="13" t="s">
        <v>519</v>
      </c>
      <c r="U24" s="13" t="s">
        <v>520</v>
      </c>
      <c r="V24" s="13" t="s">
        <v>521</v>
      </c>
      <c r="W24" s="13" t="s">
        <v>522</v>
      </c>
      <c r="X24" s="13" t="s">
        <v>523</v>
      </c>
      <c r="Y24" s="13" t="s">
        <v>524</v>
      </c>
      <c r="Z24" s="13" t="s">
        <v>525</v>
      </c>
      <c r="AA24" s="13" t="s">
        <v>526</v>
      </c>
      <c r="AB24" s="13" t="s">
        <v>69</v>
      </c>
      <c r="AC24" s="18" t="s">
        <v>527</v>
      </c>
      <c r="AD24" s="13" t="s">
        <v>528</v>
      </c>
      <c r="AE24" s="18" t="s">
        <v>522</v>
      </c>
      <c r="AF24" s="18" t="s">
        <v>69</v>
      </c>
      <c r="AG24" s="13" t="s">
        <v>529</v>
      </c>
      <c r="AH24" s="13" t="s">
        <v>113</v>
      </c>
      <c r="AI24" s="13" t="s">
        <v>114</v>
      </c>
      <c r="AJ24" s="13" t="s">
        <v>69</v>
      </c>
      <c r="AK24" s="13" t="s">
        <v>530</v>
      </c>
      <c r="AL24" s="13" t="s">
        <v>531</v>
      </c>
      <c r="AM24" s="13" t="s">
        <v>532</v>
      </c>
      <c r="AN24" s="13" t="s">
        <v>533</v>
      </c>
      <c r="AO24" s="13" t="s">
        <v>69</v>
      </c>
      <c r="AP24" s="13" t="s">
        <v>516</v>
      </c>
      <c r="AQ24" s="13" t="s">
        <v>534</v>
      </c>
      <c r="AR24" s="13" t="s">
        <v>182</v>
      </c>
      <c r="AS24" s="13" t="s">
        <v>183</v>
      </c>
      <c r="AT24" s="13" t="s">
        <v>184</v>
      </c>
      <c r="AU24" s="13" t="s">
        <v>535</v>
      </c>
      <c r="AV24" s="13" t="s">
        <v>201</v>
      </c>
      <c r="AW24" s="13" t="s">
        <v>536</v>
      </c>
      <c r="AX24" s="13" t="s">
        <v>69</v>
      </c>
      <c r="AY24" s="13" t="s">
        <v>96</v>
      </c>
      <c r="AZ24" s="17" t="s">
        <v>69</v>
      </c>
      <c r="BA24" s="13" t="s">
        <v>126</v>
      </c>
      <c r="BB24" s="13" t="s">
        <v>98</v>
      </c>
      <c r="BC24" s="13" t="s">
        <v>99</v>
      </c>
      <c r="BD24" s="11" t="str">
        <f>HYPERLINK("http://www.bonasgroup.com","www.bonasgroup.com")</f>
        <v>www.bonasgroup.com</v>
      </c>
      <c r="BE24" s="11" t="str">
        <f>HYPERLINK("http://www.linkedin.com/company/bonas-group","http://www.linkedin.com/company/bonas-group")</f>
        <v>http://www.linkedin.com/company/bonas-group</v>
      </c>
      <c r="BF24" s="16">
        <v>27</v>
      </c>
      <c r="BG24" s="13" t="s">
        <v>537</v>
      </c>
      <c r="BH24" s="13" t="s">
        <v>69</v>
      </c>
      <c r="BI24" s="13" t="s">
        <v>69</v>
      </c>
      <c r="BJ24" s="15">
        <v>1966</v>
      </c>
      <c r="BK24" s="13" t="s">
        <v>69</v>
      </c>
      <c r="BL24" s="14">
        <v>45066</v>
      </c>
      <c r="BM24" s="13" t="s">
        <v>69</v>
      </c>
      <c r="BN24" s="13" t="s">
        <v>69</v>
      </c>
      <c r="BO24" s="11" t="str">
        <f>HYPERLINK("https://my.pitchbook.com?c=217508-86","View Company Online")</f>
        <v>View Company Online</v>
      </c>
    </row>
    <row r="25" spans="1:67" x14ac:dyDescent="0.3">
      <c r="A25" s="3" t="s">
        <v>538</v>
      </c>
      <c r="B25" s="3" t="s">
        <v>539</v>
      </c>
      <c r="C25" s="3" t="s">
        <v>69</v>
      </c>
      <c r="D25" s="5" t="s">
        <v>69</v>
      </c>
      <c r="E25" s="3" t="s">
        <v>540</v>
      </c>
      <c r="F25" s="3" t="s">
        <v>69</v>
      </c>
      <c r="G25" s="3" t="s">
        <v>69</v>
      </c>
      <c r="H25" s="3" t="s">
        <v>541</v>
      </c>
      <c r="I25" s="4">
        <v>666.56</v>
      </c>
      <c r="J25" s="7">
        <v>-3.36</v>
      </c>
      <c r="K25" s="4">
        <v>56.53</v>
      </c>
      <c r="L25" s="4">
        <v>20.28</v>
      </c>
      <c r="M25" s="4">
        <v>419.31</v>
      </c>
      <c r="N25" s="4">
        <v>22</v>
      </c>
      <c r="O25" s="4">
        <v>20.2</v>
      </c>
      <c r="P25" s="4">
        <v>2.5299999999999998</v>
      </c>
      <c r="Q25" s="4">
        <v>215.8</v>
      </c>
      <c r="R25" s="6" t="s">
        <v>542</v>
      </c>
      <c r="S25" s="3" t="s">
        <v>69</v>
      </c>
      <c r="T25" s="3" t="s">
        <v>69</v>
      </c>
      <c r="U25" s="3" t="s">
        <v>69</v>
      </c>
      <c r="V25" s="3" t="s">
        <v>69</v>
      </c>
      <c r="W25" s="3" t="s">
        <v>69</v>
      </c>
      <c r="X25" s="3" t="s">
        <v>543</v>
      </c>
      <c r="Y25" s="3" t="s">
        <v>544</v>
      </c>
      <c r="Z25" s="3" t="s">
        <v>545</v>
      </c>
      <c r="AA25" s="3" t="s">
        <v>546</v>
      </c>
      <c r="AB25" s="3" t="s">
        <v>547</v>
      </c>
      <c r="AC25" s="6" t="s">
        <v>548</v>
      </c>
      <c r="AD25" s="3" t="s">
        <v>219</v>
      </c>
      <c r="AE25" s="6" t="s">
        <v>69</v>
      </c>
      <c r="AF25" s="6" t="s">
        <v>69</v>
      </c>
      <c r="AG25" s="3" t="s">
        <v>69</v>
      </c>
      <c r="AH25" s="3" t="s">
        <v>83</v>
      </c>
      <c r="AI25" s="3" t="s">
        <v>220</v>
      </c>
      <c r="AJ25" s="3" t="s">
        <v>69</v>
      </c>
      <c r="AK25" s="3" t="s">
        <v>69</v>
      </c>
      <c r="AL25" s="3" t="s">
        <v>549</v>
      </c>
      <c r="AM25" s="3" t="s">
        <v>550</v>
      </c>
      <c r="AN25" s="3" t="s">
        <v>224</v>
      </c>
      <c r="AO25" s="3" t="s">
        <v>69</v>
      </c>
      <c r="AP25" s="3" t="s">
        <v>538</v>
      </c>
      <c r="AQ25" s="3" t="s">
        <v>551</v>
      </c>
      <c r="AR25" s="3" t="s">
        <v>90</v>
      </c>
      <c r="AS25" s="3" t="s">
        <v>121</v>
      </c>
      <c r="AT25" s="3" t="s">
        <v>166</v>
      </c>
      <c r="AU25" s="3" t="s">
        <v>167</v>
      </c>
      <c r="AV25" s="3" t="s">
        <v>201</v>
      </c>
      <c r="AW25" s="3" t="s">
        <v>552</v>
      </c>
      <c r="AX25" s="3" t="s">
        <v>69</v>
      </c>
      <c r="AY25" s="3" t="s">
        <v>96</v>
      </c>
      <c r="AZ25" s="8">
        <v>36.78</v>
      </c>
      <c r="BA25" s="3" t="s">
        <v>97</v>
      </c>
      <c r="BB25" s="3" t="s">
        <v>98</v>
      </c>
      <c r="BC25" s="3" t="s">
        <v>553</v>
      </c>
      <c r="BD25" s="12" t="str">
        <f>HYPERLINK("http://www.cmahendra.com","www.cmahendra.com")</f>
        <v>www.cmahendra.com</v>
      </c>
      <c r="BE25" s="3" t="s">
        <v>69</v>
      </c>
      <c r="BF25" s="9">
        <v>368</v>
      </c>
      <c r="BG25" s="3" t="s">
        <v>554</v>
      </c>
      <c r="BH25" s="3" t="s">
        <v>69</v>
      </c>
      <c r="BI25" s="3" t="s">
        <v>69</v>
      </c>
      <c r="BJ25" s="10">
        <v>2007</v>
      </c>
      <c r="BK25" s="3" t="s">
        <v>69</v>
      </c>
      <c r="BL25" s="1">
        <v>45183</v>
      </c>
      <c r="BM25" s="3" t="s">
        <v>69</v>
      </c>
      <c r="BN25" s="3" t="s">
        <v>69</v>
      </c>
      <c r="BO25" s="12" t="str">
        <f>HYPERLINK("https://my.pitchbook.com?c=65361-34","View Company Online")</f>
        <v>View Company Online</v>
      </c>
    </row>
    <row r="26" spans="1:67" x14ac:dyDescent="0.3">
      <c r="A26" s="13" t="s">
        <v>555</v>
      </c>
      <c r="B26" s="13" t="s">
        <v>556</v>
      </c>
      <c r="C26" s="13" t="s">
        <v>69</v>
      </c>
      <c r="D26" s="21" t="s">
        <v>69</v>
      </c>
      <c r="E26" s="13" t="s">
        <v>69</v>
      </c>
      <c r="F26" s="13" t="s">
        <v>69</v>
      </c>
      <c r="G26" s="13" t="s">
        <v>69</v>
      </c>
      <c r="H26" s="13" t="s">
        <v>69</v>
      </c>
      <c r="I26" s="19">
        <v>619.98</v>
      </c>
      <c r="J26" s="20">
        <v>12.05</v>
      </c>
      <c r="K26" s="19" t="s">
        <v>69</v>
      </c>
      <c r="L26" s="19">
        <v>49.23</v>
      </c>
      <c r="M26" s="19" t="s">
        <v>69</v>
      </c>
      <c r="N26" s="19">
        <v>71.569999999999993</v>
      </c>
      <c r="O26" s="19">
        <v>70.23</v>
      </c>
      <c r="P26" s="19" t="s">
        <v>69</v>
      </c>
      <c r="Q26" s="19">
        <v>0</v>
      </c>
      <c r="R26" s="18" t="s">
        <v>70</v>
      </c>
      <c r="S26" s="13" t="s">
        <v>557</v>
      </c>
      <c r="T26" s="13" t="s">
        <v>558</v>
      </c>
      <c r="U26" s="13" t="s">
        <v>298</v>
      </c>
      <c r="V26" s="13" t="s">
        <v>559</v>
      </c>
      <c r="W26" s="13" t="s">
        <v>69</v>
      </c>
      <c r="X26" s="13" t="s">
        <v>560</v>
      </c>
      <c r="Y26" s="13" t="s">
        <v>561</v>
      </c>
      <c r="Z26" s="13" t="s">
        <v>69</v>
      </c>
      <c r="AA26" s="13" t="s">
        <v>562</v>
      </c>
      <c r="AB26" s="13" t="s">
        <v>69</v>
      </c>
      <c r="AC26" s="18" t="s">
        <v>563</v>
      </c>
      <c r="AD26" s="13" t="s">
        <v>445</v>
      </c>
      <c r="AE26" s="18" t="s">
        <v>69</v>
      </c>
      <c r="AF26" s="18" t="s">
        <v>69</v>
      </c>
      <c r="AG26" s="13" t="s">
        <v>69</v>
      </c>
      <c r="AH26" s="13" t="s">
        <v>113</v>
      </c>
      <c r="AI26" s="13" t="s">
        <v>114</v>
      </c>
      <c r="AJ26" s="13" t="s">
        <v>69</v>
      </c>
      <c r="AK26" s="13" t="s">
        <v>69</v>
      </c>
      <c r="AL26" s="13" t="s">
        <v>69</v>
      </c>
      <c r="AM26" s="13" t="s">
        <v>564</v>
      </c>
      <c r="AN26" s="13" t="s">
        <v>565</v>
      </c>
      <c r="AO26" s="13" t="s">
        <v>69</v>
      </c>
      <c r="AP26" s="13" t="s">
        <v>555</v>
      </c>
      <c r="AQ26" s="13" t="s">
        <v>566</v>
      </c>
      <c r="AR26" s="13" t="s">
        <v>182</v>
      </c>
      <c r="AS26" s="13" t="s">
        <v>313</v>
      </c>
      <c r="AT26" s="13" t="s">
        <v>567</v>
      </c>
      <c r="AU26" s="13" t="s">
        <v>568</v>
      </c>
      <c r="AV26" s="13" t="s">
        <v>569</v>
      </c>
      <c r="AW26" s="13" t="s">
        <v>570</v>
      </c>
      <c r="AX26" s="13" t="s">
        <v>69</v>
      </c>
      <c r="AY26" s="13" t="s">
        <v>96</v>
      </c>
      <c r="AZ26" s="17" t="s">
        <v>69</v>
      </c>
      <c r="BA26" s="13" t="s">
        <v>69</v>
      </c>
      <c r="BB26" s="13" t="s">
        <v>98</v>
      </c>
      <c r="BC26" s="13" t="s">
        <v>99</v>
      </c>
      <c r="BD26" s="11" t="str">
        <f>HYPERLINK("http://rolex.de","rolex.de")</f>
        <v>rolex.de</v>
      </c>
      <c r="BE26" s="13" t="s">
        <v>69</v>
      </c>
      <c r="BF26" s="16">
        <v>157</v>
      </c>
      <c r="BG26" s="13" t="s">
        <v>571</v>
      </c>
      <c r="BH26" s="13" t="s">
        <v>69</v>
      </c>
      <c r="BI26" s="13" t="s">
        <v>69</v>
      </c>
      <c r="BJ26" s="15">
        <v>1956</v>
      </c>
      <c r="BK26" s="13" t="s">
        <v>69</v>
      </c>
      <c r="BL26" s="14">
        <v>45704</v>
      </c>
      <c r="BM26" s="13" t="s">
        <v>69</v>
      </c>
      <c r="BN26" s="13" t="s">
        <v>69</v>
      </c>
      <c r="BO26" s="11" t="str">
        <f>HYPERLINK("https://my.pitchbook.com?c=224867-26","View Company Online")</f>
        <v>View Company Online</v>
      </c>
    </row>
    <row r="27" spans="1:67" x14ac:dyDescent="0.3">
      <c r="A27" s="3" t="s">
        <v>572</v>
      </c>
      <c r="B27" s="3" t="s">
        <v>573</v>
      </c>
      <c r="C27" s="3" t="s">
        <v>69</v>
      </c>
      <c r="D27" s="5" t="s">
        <v>69</v>
      </c>
      <c r="E27" s="3" t="s">
        <v>69</v>
      </c>
      <c r="F27" s="3" t="s">
        <v>69</v>
      </c>
      <c r="G27" s="3" t="s">
        <v>69</v>
      </c>
      <c r="H27" s="3" t="s">
        <v>574</v>
      </c>
      <c r="I27" s="4">
        <v>513.83000000000004</v>
      </c>
      <c r="J27" s="7">
        <v>17.52</v>
      </c>
      <c r="K27" s="4">
        <v>160.53</v>
      </c>
      <c r="L27" s="4">
        <v>80.22</v>
      </c>
      <c r="M27" s="4" t="s">
        <v>69</v>
      </c>
      <c r="N27" s="4">
        <v>105.78</v>
      </c>
      <c r="O27" s="4">
        <v>104.54</v>
      </c>
      <c r="P27" s="4" t="s">
        <v>69</v>
      </c>
      <c r="Q27" s="4">
        <v>0</v>
      </c>
      <c r="R27" s="6" t="s">
        <v>70</v>
      </c>
      <c r="S27" s="3" t="s">
        <v>575</v>
      </c>
      <c r="T27" s="3" t="s">
        <v>576</v>
      </c>
      <c r="U27" s="3" t="s">
        <v>73</v>
      </c>
      <c r="V27" s="3" t="s">
        <v>577</v>
      </c>
      <c r="W27" s="3" t="s">
        <v>578</v>
      </c>
      <c r="X27" s="3" t="s">
        <v>107</v>
      </c>
      <c r="Y27" s="3" t="s">
        <v>579</v>
      </c>
      <c r="Z27" s="3" t="s">
        <v>69</v>
      </c>
      <c r="AA27" s="3" t="s">
        <v>109</v>
      </c>
      <c r="AB27" s="3" t="s">
        <v>110</v>
      </c>
      <c r="AC27" s="6" t="s">
        <v>580</v>
      </c>
      <c r="AD27" s="3" t="s">
        <v>112</v>
      </c>
      <c r="AE27" s="6" t="s">
        <v>578</v>
      </c>
      <c r="AF27" s="6" t="s">
        <v>581</v>
      </c>
      <c r="AG27" s="3" t="s">
        <v>582</v>
      </c>
      <c r="AH27" s="3" t="s">
        <v>113</v>
      </c>
      <c r="AI27" s="3" t="s">
        <v>114</v>
      </c>
      <c r="AJ27" s="3" t="s">
        <v>69</v>
      </c>
      <c r="AK27" s="3" t="s">
        <v>69</v>
      </c>
      <c r="AL27" s="3" t="s">
        <v>583</v>
      </c>
      <c r="AM27" s="3" t="s">
        <v>584</v>
      </c>
      <c r="AN27" s="3" t="s">
        <v>118</v>
      </c>
      <c r="AO27" s="3" t="s">
        <v>69</v>
      </c>
      <c r="AP27" s="3" t="s">
        <v>572</v>
      </c>
      <c r="AQ27" s="3" t="s">
        <v>585</v>
      </c>
      <c r="AR27" s="3" t="s">
        <v>182</v>
      </c>
      <c r="AS27" s="3" t="s">
        <v>313</v>
      </c>
      <c r="AT27" s="3" t="s">
        <v>567</v>
      </c>
      <c r="AU27" s="3" t="s">
        <v>568</v>
      </c>
      <c r="AV27" s="3" t="s">
        <v>69</v>
      </c>
      <c r="AW27" s="3" t="s">
        <v>586</v>
      </c>
      <c r="AX27" s="3" t="s">
        <v>69</v>
      </c>
      <c r="AY27" s="3" t="s">
        <v>96</v>
      </c>
      <c r="AZ27" s="8" t="s">
        <v>69</v>
      </c>
      <c r="BA27" s="3" t="s">
        <v>97</v>
      </c>
      <c r="BB27" s="3" t="s">
        <v>98</v>
      </c>
      <c r="BC27" s="3" t="s">
        <v>99</v>
      </c>
      <c r="BD27" s="12" t="str">
        <f>HYPERLINK("http://www.graff.com","www.graff.com")</f>
        <v>www.graff.com</v>
      </c>
      <c r="BE27" s="3" t="s">
        <v>69</v>
      </c>
      <c r="BF27" s="9">
        <v>500</v>
      </c>
      <c r="BG27" s="3" t="s">
        <v>587</v>
      </c>
      <c r="BH27" s="3" t="s">
        <v>69</v>
      </c>
      <c r="BI27" s="3" t="s">
        <v>69</v>
      </c>
      <c r="BJ27" s="10">
        <v>1960</v>
      </c>
      <c r="BK27" s="3" t="s">
        <v>69</v>
      </c>
      <c r="BL27" s="1">
        <v>45565</v>
      </c>
      <c r="BM27" s="3" t="s">
        <v>69</v>
      </c>
      <c r="BN27" s="3" t="s">
        <v>69</v>
      </c>
      <c r="BO27" s="12" t="str">
        <f>HYPERLINK("https://my.pitchbook.com?c=132340-78","View Company Online")</f>
        <v>View Company Online</v>
      </c>
    </row>
    <row r="28" spans="1:67" x14ac:dyDescent="0.3">
      <c r="A28" s="13" t="s">
        <v>588</v>
      </c>
      <c r="B28" s="13" t="s">
        <v>589</v>
      </c>
      <c r="C28" s="13" t="s">
        <v>69</v>
      </c>
      <c r="D28" s="21" t="s">
        <v>69</v>
      </c>
      <c r="E28" s="13" t="s">
        <v>69</v>
      </c>
      <c r="F28" s="13" t="s">
        <v>69</v>
      </c>
      <c r="G28" s="13" t="s">
        <v>69</v>
      </c>
      <c r="H28" s="13" t="s">
        <v>69</v>
      </c>
      <c r="I28" s="19">
        <v>473.9</v>
      </c>
      <c r="J28" s="20">
        <v>6.22</v>
      </c>
      <c r="K28" s="19" t="s">
        <v>69</v>
      </c>
      <c r="L28" s="19" t="s">
        <v>69</v>
      </c>
      <c r="M28" s="19" t="s">
        <v>69</v>
      </c>
      <c r="N28" s="19" t="s">
        <v>69</v>
      </c>
      <c r="O28" s="19" t="s">
        <v>69</v>
      </c>
      <c r="P28" s="19" t="s">
        <v>69</v>
      </c>
      <c r="Q28" s="19" t="s">
        <v>69</v>
      </c>
      <c r="R28" s="18" t="s">
        <v>70</v>
      </c>
      <c r="S28" s="13" t="s">
        <v>590</v>
      </c>
      <c r="T28" s="13" t="s">
        <v>591</v>
      </c>
      <c r="U28" s="13" t="s">
        <v>592</v>
      </c>
      <c r="V28" s="13" t="s">
        <v>593</v>
      </c>
      <c r="W28" s="13" t="s">
        <v>594</v>
      </c>
      <c r="X28" s="13" t="s">
        <v>595</v>
      </c>
      <c r="Y28" s="13" t="s">
        <v>596</v>
      </c>
      <c r="Z28" s="13" t="s">
        <v>69</v>
      </c>
      <c r="AA28" s="13" t="s">
        <v>597</v>
      </c>
      <c r="AB28" s="13" t="s">
        <v>69</v>
      </c>
      <c r="AC28" s="18" t="s">
        <v>598</v>
      </c>
      <c r="AD28" s="13" t="s">
        <v>161</v>
      </c>
      <c r="AE28" s="18" t="s">
        <v>594</v>
      </c>
      <c r="AF28" s="18" t="s">
        <v>69</v>
      </c>
      <c r="AG28" s="13" t="s">
        <v>599</v>
      </c>
      <c r="AH28" s="13" t="s">
        <v>113</v>
      </c>
      <c r="AI28" s="13" t="s">
        <v>114</v>
      </c>
      <c r="AJ28" s="13" t="s">
        <v>69</v>
      </c>
      <c r="AK28" s="13" t="s">
        <v>600</v>
      </c>
      <c r="AL28" s="13" t="s">
        <v>601</v>
      </c>
      <c r="AM28" s="13" t="s">
        <v>69</v>
      </c>
      <c r="AN28" s="13" t="s">
        <v>69</v>
      </c>
      <c r="AO28" s="13" t="s">
        <v>602</v>
      </c>
      <c r="AP28" s="13" t="s">
        <v>588</v>
      </c>
      <c r="AQ28" s="13" t="s">
        <v>603</v>
      </c>
      <c r="AR28" s="13" t="s">
        <v>90</v>
      </c>
      <c r="AS28" s="13" t="s">
        <v>510</v>
      </c>
      <c r="AT28" s="13" t="s">
        <v>604</v>
      </c>
      <c r="AU28" s="13" t="s">
        <v>605</v>
      </c>
      <c r="AV28" s="13" t="s">
        <v>201</v>
      </c>
      <c r="AW28" s="13" t="s">
        <v>606</v>
      </c>
      <c r="AX28" s="13" t="s">
        <v>69</v>
      </c>
      <c r="AY28" s="13" t="s">
        <v>96</v>
      </c>
      <c r="AZ28" s="17" t="s">
        <v>69</v>
      </c>
      <c r="BA28" s="13" t="s">
        <v>126</v>
      </c>
      <c r="BB28" s="13" t="s">
        <v>98</v>
      </c>
      <c r="BC28" s="13" t="s">
        <v>99</v>
      </c>
      <c r="BD28" s="11" t="str">
        <f>HYPERLINK("http://www.victorinox.com","www.victorinox.com")</f>
        <v>www.victorinox.com</v>
      </c>
      <c r="BE28" s="11" t="str">
        <f>HYPERLINK("http://www.linkedin.com/company/victorinox","http://www.linkedin.com/company/victorinox")</f>
        <v>http://www.linkedin.com/company/victorinox</v>
      </c>
      <c r="BF28" s="16">
        <v>2200</v>
      </c>
      <c r="BG28" s="13" t="s">
        <v>607</v>
      </c>
      <c r="BH28" s="13" t="s">
        <v>69</v>
      </c>
      <c r="BI28" s="13" t="s">
        <v>69</v>
      </c>
      <c r="BJ28" s="15">
        <v>1884</v>
      </c>
      <c r="BK28" s="13" t="s">
        <v>69</v>
      </c>
      <c r="BL28" s="14">
        <v>45420</v>
      </c>
      <c r="BM28" s="13" t="s">
        <v>69</v>
      </c>
      <c r="BN28" s="13" t="s">
        <v>69</v>
      </c>
      <c r="BO28" s="11" t="str">
        <f>HYPERLINK("https://my.pitchbook.com?c=123043-96","View Company Online")</f>
        <v>View Company Online</v>
      </c>
    </row>
    <row r="29" spans="1:67" x14ac:dyDescent="0.3">
      <c r="A29" s="3" t="s">
        <v>608</v>
      </c>
      <c r="B29" s="3" t="s">
        <v>609</v>
      </c>
      <c r="C29" s="3" t="s">
        <v>69</v>
      </c>
      <c r="D29" s="5" t="s">
        <v>69</v>
      </c>
      <c r="E29" s="3" t="s">
        <v>69</v>
      </c>
      <c r="F29" s="3" t="s">
        <v>69</v>
      </c>
      <c r="G29" s="3" t="s">
        <v>69</v>
      </c>
      <c r="H29" s="3" t="s">
        <v>69</v>
      </c>
      <c r="I29" s="4">
        <v>446.3</v>
      </c>
      <c r="J29" s="7">
        <v>59.39</v>
      </c>
      <c r="K29" s="4" t="s">
        <v>69</v>
      </c>
      <c r="L29" s="4">
        <v>5.22</v>
      </c>
      <c r="M29" s="4" t="s">
        <v>69</v>
      </c>
      <c r="N29" s="4">
        <v>10.55</v>
      </c>
      <c r="O29" s="4">
        <v>9.31</v>
      </c>
      <c r="P29" s="4" t="s">
        <v>69</v>
      </c>
      <c r="Q29" s="4">
        <v>18.93</v>
      </c>
      <c r="R29" s="6" t="s">
        <v>70</v>
      </c>
      <c r="S29" s="3" t="s">
        <v>69</v>
      </c>
      <c r="T29" s="3" t="s">
        <v>69</v>
      </c>
      <c r="U29" s="3" t="s">
        <v>69</v>
      </c>
      <c r="V29" s="3" t="s">
        <v>69</v>
      </c>
      <c r="W29" s="3" t="s">
        <v>69</v>
      </c>
      <c r="X29" s="3" t="s">
        <v>610</v>
      </c>
      <c r="Y29" s="3" t="s">
        <v>611</v>
      </c>
      <c r="Z29" s="3" t="s">
        <v>69</v>
      </c>
      <c r="AA29" s="3" t="s">
        <v>612</v>
      </c>
      <c r="AB29" s="3" t="s">
        <v>613</v>
      </c>
      <c r="AC29" s="6" t="s">
        <v>614</v>
      </c>
      <c r="AD29" s="3" t="s">
        <v>445</v>
      </c>
      <c r="AE29" s="6" t="s">
        <v>69</v>
      </c>
      <c r="AF29" s="6" t="s">
        <v>69</v>
      </c>
      <c r="AG29" s="3" t="s">
        <v>69</v>
      </c>
      <c r="AH29" s="3" t="s">
        <v>113</v>
      </c>
      <c r="AI29" s="3" t="s">
        <v>114</v>
      </c>
      <c r="AJ29" s="3" t="s">
        <v>69</v>
      </c>
      <c r="AK29" s="3" t="s">
        <v>69</v>
      </c>
      <c r="AL29" s="3" t="s">
        <v>615</v>
      </c>
      <c r="AM29" s="3" t="s">
        <v>616</v>
      </c>
      <c r="AN29" s="3" t="s">
        <v>617</v>
      </c>
      <c r="AO29" s="3" t="s">
        <v>69</v>
      </c>
      <c r="AP29" s="3" t="s">
        <v>608</v>
      </c>
      <c r="AQ29" s="3" t="s">
        <v>618</v>
      </c>
      <c r="AR29" s="3" t="s">
        <v>90</v>
      </c>
      <c r="AS29" s="3" t="s">
        <v>510</v>
      </c>
      <c r="AT29" s="3" t="s">
        <v>604</v>
      </c>
      <c r="AU29" s="3" t="s">
        <v>619</v>
      </c>
      <c r="AV29" s="3" t="s">
        <v>69</v>
      </c>
      <c r="AW29" s="3" t="s">
        <v>69</v>
      </c>
      <c r="AX29" s="3" t="s">
        <v>69</v>
      </c>
      <c r="AY29" s="3" t="s">
        <v>96</v>
      </c>
      <c r="AZ29" s="8" t="s">
        <v>69</v>
      </c>
      <c r="BA29" s="3" t="s">
        <v>69</v>
      </c>
      <c r="BB29" s="3" t="s">
        <v>98</v>
      </c>
      <c r="BC29" s="3" t="s">
        <v>99</v>
      </c>
      <c r="BD29" s="12" t="str">
        <f>HYPERLINK("http://bauer-walser.de","bauer-walser.de")</f>
        <v>bauer-walser.de</v>
      </c>
      <c r="BE29" s="3" t="s">
        <v>69</v>
      </c>
      <c r="BF29" s="9">
        <v>187</v>
      </c>
      <c r="BG29" s="3" t="s">
        <v>620</v>
      </c>
      <c r="BH29" s="3" t="s">
        <v>69</v>
      </c>
      <c r="BI29" s="3" t="s">
        <v>69</v>
      </c>
      <c r="BJ29" s="10">
        <v>1974</v>
      </c>
      <c r="BK29" s="3" t="s">
        <v>69</v>
      </c>
      <c r="BL29" s="1">
        <v>45648</v>
      </c>
      <c r="BM29" s="3" t="s">
        <v>69</v>
      </c>
      <c r="BN29" s="3" t="s">
        <v>69</v>
      </c>
      <c r="BO29" s="12" t="str">
        <f>HYPERLINK("https://my.pitchbook.com?c=206419-15","View Company Online")</f>
        <v>View Company Online</v>
      </c>
    </row>
    <row r="30" spans="1:67" x14ac:dyDescent="0.3">
      <c r="A30" s="13" t="s">
        <v>621</v>
      </c>
      <c r="B30" s="13" t="s">
        <v>622</v>
      </c>
      <c r="C30" s="13" t="s">
        <v>69</v>
      </c>
      <c r="D30" s="21" t="s">
        <v>69</v>
      </c>
      <c r="E30" s="13" t="s">
        <v>69</v>
      </c>
      <c r="F30" s="13" t="s">
        <v>69</v>
      </c>
      <c r="G30" s="13" t="s">
        <v>69</v>
      </c>
      <c r="H30" s="13" t="s">
        <v>69</v>
      </c>
      <c r="I30" s="19">
        <v>439.1</v>
      </c>
      <c r="J30" s="20" t="s">
        <v>69</v>
      </c>
      <c r="K30" s="19" t="s">
        <v>69</v>
      </c>
      <c r="L30" s="19" t="s">
        <v>69</v>
      </c>
      <c r="M30" s="19" t="s">
        <v>69</v>
      </c>
      <c r="N30" s="19" t="s">
        <v>69</v>
      </c>
      <c r="O30" s="19" t="s">
        <v>69</v>
      </c>
      <c r="P30" s="19" t="s">
        <v>69</v>
      </c>
      <c r="Q30" s="19" t="s">
        <v>69</v>
      </c>
      <c r="R30" s="18" t="s">
        <v>623</v>
      </c>
      <c r="S30" s="13" t="s">
        <v>624</v>
      </c>
      <c r="T30" s="13" t="s">
        <v>625</v>
      </c>
      <c r="U30" s="13" t="s">
        <v>626</v>
      </c>
      <c r="V30" s="13" t="s">
        <v>69</v>
      </c>
      <c r="W30" s="13" t="s">
        <v>627</v>
      </c>
      <c r="X30" s="13" t="s">
        <v>628</v>
      </c>
      <c r="Y30" s="13" t="s">
        <v>629</v>
      </c>
      <c r="Z30" s="13" t="s">
        <v>69</v>
      </c>
      <c r="AA30" s="13" t="s">
        <v>630</v>
      </c>
      <c r="AB30" s="13" t="s">
        <v>69</v>
      </c>
      <c r="AC30" s="18" t="s">
        <v>631</v>
      </c>
      <c r="AD30" s="13" t="s">
        <v>632</v>
      </c>
      <c r="AE30" s="18" t="s">
        <v>627</v>
      </c>
      <c r="AF30" s="18" t="s">
        <v>69</v>
      </c>
      <c r="AG30" s="13" t="s">
        <v>633</v>
      </c>
      <c r="AH30" s="13" t="s">
        <v>113</v>
      </c>
      <c r="AI30" s="13" t="s">
        <v>333</v>
      </c>
      <c r="AJ30" s="13" t="s">
        <v>69</v>
      </c>
      <c r="AK30" s="13" t="s">
        <v>69</v>
      </c>
      <c r="AL30" s="13" t="s">
        <v>634</v>
      </c>
      <c r="AM30" s="13" t="s">
        <v>69</v>
      </c>
      <c r="AN30" s="13" t="s">
        <v>69</v>
      </c>
      <c r="AO30" s="13" t="s">
        <v>69</v>
      </c>
      <c r="AP30" s="13" t="s">
        <v>621</v>
      </c>
      <c r="AQ30" s="13" t="s">
        <v>635</v>
      </c>
      <c r="AR30" s="13" t="s">
        <v>90</v>
      </c>
      <c r="AS30" s="13" t="s">
        <v>121</v>
      </c>
      <c r="AT30" s="13" t="s">
        <v>122</v>
      </c>
      <c r="AU30" s="13" t="s">
        <v>636</v>
      </c>
      <c r="AV30" s="13" t="s">
        <v>69</v>
      </c>
      <c r="AW30" s="13" t="s">
        <v>637</v>
      </c>
      <c r="AX30" s="13" t="s">
        <v>69</v>
      </c>
      <c r="AY30" s="13" t="s">
        <v>96</v>
      </c>
      <c r="AZ30" s="17" t="s">
        <v>69</v>
      </c>
      <c r="BA30" s="13" t="s">
        <v>126</v>
      </c>
      <c r="BB30" s="13" t="s">
        <v>98</v>
      </c>
      <c r="BC30" s="13" t="s">
        <v>99</v>
      </c>
      <c r="BD30" s="11" t="str">
        <f>HYPERLINK("http://www.bosco.ru","www.bosco.ru")</f>
        <v>www.bosco.ru</v>
      </c>
      <c r="BE30" s="11" t="str">
        <f>HYPERLINK("http://www.linkedin.com/company/bosco-di-ciliegi","http://www.linkedin.com/company/bosco-di-ciliegi")</f>
        <v>http://www.linkedin.com/company/bosco-di-ciliegi</v>
      </c>
      <c r="BF30" s="16">
        <v>5001</v>
      </c>
      <c r="BG30" s="13" t="s">
        <v>638</v>
      </c>
      <c r="BH30" s="13" t="s">
        <v>69</v>
      </c>
      <c r="BI30" s="13" t="s">
        <v>69</v>
      </c>
      <c r="BJ30" s="15">
        <v>1991</v>
      </c>
      <c r="BK30" s="13" t="s">
        <v>639</v>
      </c>
      <c r="BL30" s="14">
        <v>45183</v>
      </c>
      <c r="BM30" s="13" t="s">
        <v>69</v>
      </c>
      <c r="BN30" s="13" t="s">
        <v>69</v>
      </c>
      <c r="BO30" s="11" t="str">
        <f>HYPERLINK("https://my.pitchbook.com?c=115516-54","View Company Online")</f>
        <v>View Company Online</v>
      </c>
    </row>
    <row r="31" spans="1:67" x14ac:dyDescent="0.3">
      <c r="A31" s="3" t="s">
        <v>640</v>
      </c>
      <c r="B31" s="3" t="s">
        <v>641</v>
      </c>
      <c r="C31" s="3" t="s">
        <v>69</v>
      </c>
      <c r="D31" s="5" t="s">
        <v>69</v>
      </c>
      <c r="E31" s="3" t="s">
        <v>69</v>
      </c>
      <c r="F31" s="3" t="s">
        <v>69</v>
      </c>
      <c r="G31" s="3" t="s">
        <v>69</v>
      </c>
      <c r="H31" s="3" t="s">
        <v>69</v>
      </c>
      <c r="I31" s="4">
        <v>406.91</v>
      </c>
      <c r="J31" s="7">
        <v>11.7</v>
      </c>
      <c r="K31" s="4">
        <v>190.53</v>
      </c>
      <c r="L31" s="4">
        <v>34.96</v>
      </c>
      <c r="M31" s="4" t="s">
        <v>69</v>
      </c>
      <c r="N31" s="4">
        <v>58.38</v>
      </c>
      <c r="O31" s="4">
        <v>42.22</v>
      </c>
      <c r="P31" s="4" t="s">
        <v>69</v>
      </c>
      <c r="Q31" s="4">
        <v>0</v>
      </c>
      <c r="R31" s="6" t="s">
        <v>70</v>
      </c>
      <c r="S31" s="3" t="s">
        <v>642</v>
      </c>
      <c r="T31" s="3" t="s">
        <v>643</v>
      </c>
      <c r="U31" s="3" t="s">
        <v>644</v>
      </c>
      <c r="V31" s="3" t="s">
        <v>69</v>
      </c>
      <c r="W31" s="3" t="s">
        <v>69</v>
      </c>
      <c r="X31" s="3" t="s">
        <v>645</v>
      </c>
      <c r="Y31" s="3" t="s">
        <v>646</v>
      </c>
      <c r="Z31" s="3" t="s">
        <v>647</v>
      </c>
      <c r="AA31" s="3" t="s">
        <v>648</v>
      </c>
      <c r="AB31" s="3" t="s">
        <v>110</v>
      </c>
      <c r="AC31" s="6" t="s">
        <v>649</v>
      </c>
      <c r="AD31" s="3" t="s">
        <v>112</v>
      </c>
      <c r="AE31" s="6" t="s">
        <v>69</v>
      </c>
      <c r="AF31" s="6" t="s">
        <v>69</v>
      </c>
      <c r="AG31" s="3" t="s">
        <v>69</v>
      </c>
      <c r="AH31" s="3" t="s">
        <v>113</v>
      </c>
      <c r="AI31" s="3" t="s">
        <v>114</v>
      </c>
      <c r="AJ31" s="3" t="s">
        <v>69</v>
      </c>
      <c r="AK31" s="3" t="s">
        <v>650</v>
      </c>
      <c r="AL31" s="3" t="s">
        <v>651</v>
      </c>
      <c r="AM31" s="3" t="s">
        <v>652</v>
      </c>
      <c r="AN31" s="3" t="s">
        <v>118</v>
      </c>
      <c r="AO31" s="3" t="s">
        <v>69</v>
      </c>
      <c r="AP31" s="3" t="s">
        <v>640</v>
      </c>
      <c r="AQ31" s="3" t="s">
        <v>653</v>
      </c>
      <c r="AR31" s="3" t="s">
        <v>90</v>
      </c>
      <c r="AS31" s="3" t="s">
        <v>337</v>
      </c>
      <c r="AT31" s="3" t="s">
        <v>654</v>
      </c>
      <c r="AU31" s="3" t="s">
        <v>655</v>
      </c>
      <c r="AV31" s="3" t="s">
        <v>656</v>
      </c>
      <c r="AW31" s="3" t="s">
        <v>657</v>
      </c>
      <c r="AX31" s="3" t="s">
        <v>69</v>
      </c>
      <c r="AY31" s="3" t="s">
        <v>96</v>
      </c>
      <c r="AZ31" s="8" t="s">
        <v>69</v>
      </c>
      <c r="BA31" s="3" t="s">
        <v>126</v>
      </c>
      <c r="BB31" s="3" t="s">
        <v>98</v>
      </c>
      <c r="BC31" s="3" t="s">
        <v>99</v>
      </c>
      <c r="BD31" s="12" t="str">
        <f>HYPERLINK("http://www.timpson-group.co.uk","www.timpson-group.co.uk")</f>
        <v>www.timpson-group.co.uk</v>
      </c>
      <c r="BE31" s="12" t="str">
        <f>HYPERLINK("http://www.linkedin.com/company/timpsongroup","http://www.linkedin.com/company/timpsongroup")</f>
        <v>http://www.linkedin.com/company/timpsongroup</v>
      </c>
      <c r="BF31" s="9">
        <v>5600</v>
      </c>
      <c r="BG31" s="3" t="s">
        <v>658</v>
      </c>
      <c r="BH31" s="3" t="s">
        <v>69</v>
      </c>
      <c r="BI31" s="3" t="s">
        <v>69</v>
      </c>
      <c r="BJ31" s="10">
        <v>1864</v>
      </c>
      <c r="BK31" s="3" t="s">
        <v>69</v>
      </c>
      <c r="BL31" s="1">
        <v>45590</v>
      </c>
      <c r="BM31" s="3" t="s">
        <v>69</v>
      </c>
      <c r="BN31" s="3" t="s">
        <v>69</v>
      </c>
      <c r="BO31" s="12" t="str">
        <f>HYPERLINK("https://my.pitchbook.com?c=122175-82","View Company Online")</f>
        <v>View Company Online</v>
      </c>
    </row>
    <row r="32" spans="1:67" x14ac:dyDescent="0.3">
      <c r="A32" s="13" t="s">
        <v>659</v>
      </c>
      <c r="B32" s="13" t="s">
        <v>660</v>
      </c>
      <c r="C32" s="13" t="s">
        <v>69</v>
      </c>
      <c r="D32" s="21" t="s">
        <v>69</v>
      </c>
      <c r="E32" s="13" t="s">
        <v>69</v>
      </c>
      <c r="F32" s="13" t="s">
        <v>69</v>
      </c>
      <c r="G32" s="13" t="s">
        <v>69</v>
      </c>
      <c r="H32" s="13" t="s">
        <v>69</v>
      </c>
      <c r="I32" s="19">
        <v>400</v>
      </c>
      <c r="J32" s="20" t="s">
        <v>69</v>
      </c>
      <c r="K32" s="19" t="s">
        <v>69</v>
      </c>
      <c r="L32" s="19" t="s">
        <v>69</v>
      </c>
      <c r="M32" s="19" t="s">
        <v>69</v>
      </c>
      <c r="N32" s="19" t="s">
        <v>69</v>
      </c>
      <c r="O32" s="19" t="s">
        <v>69</v>
      </c>
      <c r="P32" s="19" t="s">
        <v>69</v>
      </c>
      <c r="Q32" s="19" t="s">
        <v>69</v>
      </c>
      <c r="R32" s="18" t="s">
        <v>406</v>
      </c>
      <c r="S32" s="13" t="s">
        <v>661</v>
      </c>
      <c r="T32" s="13" t="s">
        <v>662</v>
      </c>
      <c r="U32" s="13" t="s">
        <v>73</v>
      </c>
      <c r="V32" s="13" t="s">
        <v>663</v>
      </c>
      <c r="W32" s="13" t="s">
        <v>664</v>
      </c>
      <c r="X32" s="13" t="s">
        <v>665</v>
      </c>
      <c r="Y32" s="13" t="s">
        <v>666</v>
      </c>
      <c r="Z32" s="13" t="s">
        <v>667</v>
      </c>
      <c r="AA32" s="13" t="s">
        <v>409</v>
      </c>
      <c r="AB32" s="13" t="s">
        <v>409</v>
      </c>
      <c r="AC32" s="18" t="s">
        <v>668</v>
      </c>
      <c r="AD32" s="13" t="s">
        <v>177</v>
      </c>
      <c r="AE32" s="18" t="s">
        <v>664</v>
      </c>
      <c r="AF32" s="18" t="s">
        <v>69</v>
      </c>
      <c r="AG32" s="13" t="s">
        <v>69</v>
      </c>
      <c r="AH32" s="13" t="s">
        <v>178</v>
      </c>
      <c r="AI32" s="13" t="s">
        <v>179</v>
      </c>
      <c r="AJ32" s="13" t="s">
        <v>69</v>
      </c>
      <c r="AK32" s="13" t="s">
        <v>69</v>
      </c>
      <c r="AL32" s="13" t="s">
        <v>669</v>
      </c>
      <c r="AM32" s="13" t="s">
        <v>69</v>
      </c>
      <c r="AN32" s="13" t="s">
        <v>69</v>
      </c>
      <c r="AO32" s="13" t="s">
        <v>670</v>
      </c>
      <c r="AP32" s="13" t="s">
        <v>659</v>
      </c>
      <c r="AQ32" s="13" t="s">
        <v>671</v>
      </c>
      <c r="AR32" s="13" t="s">
        <v>90</v>
      </c>
      <c r="AS32" s="13" t="s">
        <v>121</v>
      </c>
      <c r="AT32" s="13" t="s">
        <v>166</v>
      </c>
      <c r="AU32" s="13" t="s">
        <v>672</v>
      </c>
      <c r="AV32" s="13" t="s">
        <v>69</v>
      </c>
      <c r="AW32" s="13" t="s">
        <v>673</v>
      </c>
      <c r="AX32" s="13" t="s">
        <v>69</v>
      </c>
      <c r="AY32" s="13" t="s">
        <v>96</v>
      </c>
      <c r="AZ32" s="17" t="s">
        <v>69</v>
      </c>
      <c r="BA32" s="13" t="s">
        <v>126</v>
      </c>
      <c r="BB32" s="13" t="s">
        <v>98</v>
      </c>
      <c r="BC32" s="13" t="s">
        <v>99</v>
      </c>
      <c r="BD32" s="11" t="str">
        <f>HYPERLINK("http://www.marcjacobs.com","www.marcjacobs.com")</f>
        <v>www.marcjacobs.com</v>
      </c>
      <c r="BE32" s="11" t="str">
        <f>HYPERLINK("http://www.linkedin.com/company/marc-jacobs","http://www.linkedin.com/company/marc-jacobs")</f>
        <v>http://www.linkedin.com/company/marc-jacobs</v>
      </c>
      <c r="BF32" s="16">
        <v>949</v>
      </c>
      <c r="BG32" s="13" t="s">
        <v>674</v>
      </c>
      <c r="BH32" s="13" t="s">
        <v>69</v>
      </c>
      <c r="BI32" s="13" t="s">
        <v>69</v>
      </c>
      <c r="BJ32" s="15">
        <v>1984</v>
      </c>
      <c r="BK32" s="13" t="s">
        <v>69</v>
      </c>
      <c r="BL32" s="14">
        <v>45751</v>
      </c>
      <c r="BM32" s="13" t="s">
        <v>69</v>
      </c>
      <c r="BN32" s="13" t="s">
        <v>69</v>
      </c>
      <c r="BO32" s="11" t="str">
        <f>HYPERLINK("https://my.pitchbook.com?c=267389-56","View Company Online")</f>
        <v>View Company Online</v>
      </c>
    </row>
    <row r="33" spans="1:67" x14ac:dyDescent="0.3">
      <c r="A33" s="3" t="s">
        <v>675</v>
      </c>
      <c r="B33" s="3" t="s">
        <v>676</v>
      </c>
      <c r="C33" s="3" t="s">
        <v>69</v>
      </c>
      <c r="D33" s="5" t="s">
        <v>69</v>
      </c>
      <c r="E33" s="3" t="s">
        <v>69</v>
      </c>
      <c r="F33" s="3" t="s">
        <v>69</v>
      </c>
      <c r="G33" s="3" t="s">
        <v>69</v>
      </c>
      <c r="H33" s="3" t="s">
        <v>69</v>
      </c>
      <c r="I33" s="4">
        <v>325.77</v>
      </c>
      <c r="J33" s="7">
        <v>22.13</v>
      </c>
      <c r="K33" s="4" t="s">
        <v>69</v>
      </c>
      <c r="L33" s="4">
        <v>25.36</v>
      </c>
      <c r="M33" s="4" t="s">
        <v>69</v>
      </c>
      <c r="N33" s="4">
        <v>37.450000000000003</v>
      </c>
      <c r="O33" s="4">
        <v>35.97</v>
      </c>
      <c r="P33" s="4" t="s">
        <v>69</v>
      </c>
      <c r="Q33" s="4">
        <v>3.85</v>
      </c>
      <c r="R33" s="6" t="s">
        <v>70</v>
      </c>
      <c r="S33" s="3" t="s">
        <v>677</v>
      </c>
      <c r="T33" s="3" t="s">
        <v>678</v>
      </c>
      <c r="U33" s="3" t="s">
        <v>73</v>
      </c>
      <c r="V33" s="3" t="s">
        <v>679</v>
      </c>
      <c r="W33" s="3" t="s">
        <v>680</v>
      </c>
      <c r="X33" s="3" t="s">
        <v>681</v>
      </c>
      <c r="Y33" s="3" t="s">
        <v>682</v>
      </c>
      <c r="Z33" s="3" t="s">
        <v>69</v>
      </c>
      <c r="AA33" s="3" t="s">
        <v>683</v>
      </c>
      <c r="AB33" s="3" t="s">
        <v>69</v>
      </c>
      <c r="AC33" s="6" t="s">
        <v>684</v>
      </c>
      <c r="AD33" s="3" t="s">
        <v>445</v>
      </c>
      <c r="AE33" s="6" t="s">
        <v>680</v>
      </c>
      <c r="AF33" s="6" t="s">
        <v>685</v>
      </c>
      <c r="AG33" s="3" t="s">
        <v>686</v>
      </c>
      <c r="AH33" s="3" t="s">
        <v>113</v>
      </c>
      <c r="AI33" s="3" t="s">
        <v>114</v>
      </c>
      <c r="AJ33" s="3" t="s">
        <v>69</v>
      </c>
      <c r="AK33" s="3" t="s">
        <v>69</v>
      </c>
      <c r="AL33" s="3" t="s">
        <v>687</v>
      </c>
      <c r="AM33" s="3" t="s">
        <v>688</v>
      </c>
      <c r="AN33" s="3" t="s">
        <v>689</v>
      </c>
      <c r="AO33" s="3" t="s">
        <v>69</v>
      </c>
      <c r="AP33" s="3" t="s">
        <v>675</v>
      </c>
      <c r="AQ33" s="3" t="s">
        <v>690</v>
      </c>
      <c r="AR33" s="3" t="s">
        <v>90</v>
      </c>
      <c r="AS33" s="3" t="s">
        <v>510</v>
      </c>
      <c r="AT33" s="3" t="s">
        <v>604</v>
      </c>
      <c r="AU33" s="3" t="s">
        <v>691</v>
      </c>
      <c r="AV33" s="3" t="s">
        <v>201</v>
      </c>
      <c r="AW33" s="3" t="s">
        <v>692</v>
      </c>
      <c r="AX33" s="3" t="s">
        <v>69</v>
      </c>
      <c r="AY33" s="3" t="s">
        <v>96</v>
      </c>
      <c r="AZ33" s="8" t="s">
        <v>69</v>
      </c>
      <c r="BA33" s="3" t="s">
        <v>126</v>
      </c>
      <c r="BB33" s="3" t="s">
        <v>98</v>
      </c>
      <c r="BC33" s="3" t="s">
        <v>99</v>
      </c>
      <c r="BD33" s="12" t="str">
        <f>HYPERLINK("http://www.bike-discount.de","www.bike-discount.de")</f>
        <v>www.bike-discount.de</v>
      </c>
      <c r="BE33" s="3" t="s">
        <v>69</v>
      </c>
      <c r="BF33" s="9">
        <v>374</v>
      </c>
      <c r="BG33" s="3" t="s">
        <v>693</v>
      </c>
      <c r="BH33" s="3" t="s">
        <v>69</v>
      </c>
      <c r="BI33" s="3" t="s">
        <v>69</v>
      </c>
      <c r="BJ33" s="10">
        <v>1989</v>
      </c>
      <c r="BK33" s="3" t="s">
        <v>69</v>
      </c>
      <c r="BL33" s="1">
        <v>45608</v>
      </c>
      <c r="BM33" s="3" t="s">
        <v>69</v>
      </c>
      <c r="BN33" s="3" t="s">
        <v>69</v>
      </c>
      <c r="BO33" s="12" t="str">
        <f>HYPERLINK("https://my.pitchbook.com?c=341008-75","View Company Online")</f>
        <v>View Company Online</v>
      </c>
    </row>
    <row r="34" spans="1:67" x14ac:dyDescent="0.3">
      <c r="A34" s="13" t="s">
        <v>694</v>
      </c>
      <c r="B34" s="13" t="s">
        <v>695</v>
      </c>
      <c r="C34" s="13" t="s">
        <v>69</v>
      </c>
      <c r="D34" s="21" t="s">
        <v>69</v>
      </c>
      <c r="E34" s="13" t="s">
        <v>69</v>
      </c>
      <c r="F34" s="13" t="s">
        <v>69</v>
      </c>
      <c r="G34" s="13" t="s">
        <v>69</v>
      </c>
      <c r="H34" s="13" t="s">
        <v>69</v>
      </c>
      <c r="I34" s="19">
        <v>322.83999999999997</v>
      </c>
      <c r="J34" s="20">
        <v>-28.83</v>
      </c>
      <c r="K34" s="19" t="s">
        <v>69</v>
      </c>
      <c r="L34" s="19">
        <v>4.0199999999999996</v>
      </c>
      <c r="M34" s="19" t="s">
        <v>69</v>
      </c>
      <c r="N34" s="19">
        <v>5.75</v>
      </c>
      <c r="O34" s="19">
        <v>5.63</v>
      </c>
      <c r="P34" s="19" t="s">
        <v>69</v>
      </c>
      <c r="Q34" s="19">
        <v>0</v>
      </c>
      <c r="R34" s="18" t="s">
        <v>152</v>
      </c>
      <c r="S34" s="13" t="s">
        <v>69</v>
      </c>
      <c r="T34" s="13" t="s">
        <v>69</v>
      </c>
      <c r="U34" s="13" t="s">
        <v>69</v>
      </c>
      <c r="V34" s="13" t="s">
        <v>69</v>
      </c>
      <c r="W34" s="13" t="s">
        <v>69</v>
      </c>
      <c r="X34" s="13" t="s">
        <v>440</v>
      </c>
      <c r="Y34" s="13" t="s">
        <v>696</v>
      </c>
      <c r="Z34" s="13" t="s">
        <v>69</v>
      </c>
      <c r="AA34" s="13" t="s">
        <v>442</v>
      </c>
      <c r="AB34" s="13" t="s">
        <v>697</v>
      </c>
      <c r="AC34" s="18" t="s">
        <v>698</v>
      </c>
      <c r="AD34" s="13" t="s">
        <v>445</v>
      </c>
      <c r="AE34" s="18" t="s">
        <v>69</v>
      </c>
      <c r="AF34" s="18" t="s">
        <v>69</v>
      </c>
      <c r="AG34" s="13" t="s">
        <v>69</v>
      </c>
      <c r="AH34" s="13" t="s">
        <v>113</v>
      </c>
      <c r="AI34" s="13" t="s">
        <v>114</v>
      </c>
      <c r="AJ34" s="13" t="s">
        <v>69</v>
      </c>
      <c r="AK34" s="13" t="s">
        <v>69</v>
      </c>
      <c r="AL34" s="13" t="s">
        <v>699</v>
      </c>
      <c r="AM34" s="13" t="s">
        <v>700</v>
      </c>
      <c r="AN34" s="13" t="s">
        <v>451</v>
      </c>
      <c r="AO34" s="13" t="s">
        <v>69</v>
      </c>
      <c r="AP34" s="13" t="s">
        <v>694</v>
      </c>
      <c r="AQ34" s="13" t="s">
        <v>701</v>
      </c>
      <c r="AR34" s="13" t="s">
        <v>182</v>
      </c>
      <c r="AS34" s="13" t="s">
        <v>313</v>
      </c>
      <c r="AT34" s="13" t="s">
        <v>702</v>
      </c>
      <c r="AU34" s="13" t="s">
        <v>703</v>
      </c>
      <c r="AV34" s="13" t="s">
        <v>69</v>
      </c>
      <c r="AW34" s="13" t="s">
        <v>704</v>
      </c>
      <c r="AX34" s="13" t="s">
        <v>69</v>
      </c>
      <c r="AY34" s="13" t="s">
        <v>96</v>
      </c>
      <c r="AZ34" s="17" t="s">
        <v>69</v>
      </c>
      <c r="BA34" s="13" t="s">
        <v>69</v>
      </c>
      <c r="BB34" s="13" t="s">
        <v>98</v>
      </c>
      <c r="BC34" s="13" t="s">
        <v>99</v>
      </c>
      <c r="BD34" s="11" t="str">
        <f>HYPERLINK("http://jdi-europe.com","jdi-europe.com")</f>
        <v>jdi-europe.com</v>
      </c>
      <c r="BE34" s="11" t="str">
        <f>HYPERLINK("http://www.linkedin.com/company/jdi-europe-gmbh","http://www.linkedin.com/company/jdi-europe-gmbh")</f>
        <v>http://www.linkedin.com/company/jdi-europe-gmbh</v>
      </c>
      <c r="BF34" s="16">
        <v>44</v>
      </c>
      <c r="BG34" s="13" t="s">
        <v>705</v>
      </c>
      <c r="BH34" s="13" t="s">
        <v>69</v>
      </c>
      <c r="BI34" s="13" t="s">
        <v>69</v>
      </c>
      <c r="BJ34" s="15">
        <v>2012</v>
      </c>
      <c r="BK34" s="13" t="s">
        <v>69</v>
      </c>
      <c r="BL34" s="14">
        <v>45341</v>
      </c>
      <c r="BM34" s="13" t="s">
        <v>69</v>
      </c>
      <c r="BN34" s="13" t="s">
        <v>69</v>
      </c>
      <c r="BO34" s="11" t="str">
        <f>HYPERLINK("https://my.pitchbook.com?c=563862-43","View Company Online")</f>
        <v>View Company Online</v>
      </c>
    </row>
    <row r="35" spans="1:67" x14ac:dyDescent="0.3">
      <c r="A35" s="3" t="s">
        <v>706</v>
      </c>
      <c r="B35" s="3" t="s">
        <v>707</v>
      </c>
      <c r="C35" s="3" t="s">
        <v>69</v>
      </c>
      <c r="D35" s="5" t="s">
        <v>69</v>
      </c>
      <c r="E35" s="3" t="s">
        <v>69</v>
      </c>
      <c r="F35" s="3" t="s">
        <v>69</v>
      </c>
      <c r="G35" s="3" t="s">
        <v>69</v>
      </c>
      <c r="H35" s="3" t="s">
        <v>69</v>
      </c>
      <c r="I35" s="4">
        <v>304</v>
      </c>
      <c r="J35" s="7" t="s">
        <v>69</v>
      </c>
      <c r="K35" s="4" t="s">
        <v>69</v>
      </c>
      <c r="L35" s="4" t="s">
        <v>69</v>
      </c>
      <c r="M35" s="4" t="s">
        <v>69</v>
      </c>
      <c r="N35" s="4" t="s">
        <v>69</v>
      </c>
      <c r="O35" s="4" t="s">
        <v>69</v>
      </c>
      <c r="P35" s="4" t="s">
        <v>69</v>
      </c>
      <c r="Q35" s="4" t="s">
        <v>69</v>
      </c>
      <c r="R35" s="6" t="s">
        <v>321</v>
      </c>
      <c r="S35" s="3" t="s">
        <v>708</v>
      </c>
      <c r="T35" s="3" t="s">
        <v>709</v>
      </c>
      <c r="U35" s="3" t="s">
        <v>73</v>
      </c>
      <c r="V35" s="3" t="s">
        <v>710</v>
      </c>
      <c r="W35" s="3" t="s">
        <v>69</v>
      </c>
      <c r="X35" s="3" t="s">
        <v>157</v>
      </c>
      <c r="Y35" s="3" t="s">
        <v>711</v>
      </c>
      <c r="Z35" s="3" t="s">
        <v>712</v>
      </c>
      <c r="AA35" s="3" t="s">
        <v>159</v>
      </c>
      <c r="AB35" s="3" t="s">
        <v>69</v>
      </c>
      <c r="AC35" s="6" t="s">
        <v>713</v>
      </c>
      <c r="AD35" s="3" t="s">
        <v>161</v>
      </c>
      <c r="AE35" s="6" t="s">
        <v>69</v>
      </c>
      <c r="AF35" s="6" t="s">
        <v>69</v>
      </c>
      <c r="AG35" s="3" t="s">
        <v>69</v>
      </c>
      <c r="AH35" s="3" t="s">
        <v>113</v>
      </c>
      <c r="AI35" s="3" t="s">
        <v>114</v>
      </c>
      <c r="AJ35" s="3" t="s">
        <v>69</v>
      </c>
      <c r="AK35" s="3" t="s">
        <v>69</v>
      </c>
      <c r="AL35" s="3" t="s">
        <v>714</v>
      </c>
      <c r="AM35" s="3" t="s">
        <v>69</v>
      </c>
      <c r="AN35" s="3" t="s">
        <v>69</v>
      </c>
      <c r="AO35" s="3" t="s">
        <v>715</v>
      </c>
      <c r="AP35" s="3" t="s">
        <v>706</v>
      </c>
      <c r="AQ35" s="3" t="s">
        <v>716</v>
      </c>
      <c r="AR35" s="3" t="s">
        <v>90</v>
      </c>
      <c r="AS35" s="3" t="s">
        <v>121</v>
      </c>
      <c r="AT35" s="3" t="s">
        <v>166</v>
      </c>
      <c r="AU35" s="3" t="s">
        <v>167</v>
      </c>
      <c r="AV35" s="3" t="s">
        <v>201</v>
      </c>
      <c r="AW35" s="3" t="s">
        <v>717</v>
      </c>
      <c r="AX35" s="3" t="s">
        <v>69</v>
      </c>
      <c r="AY35" s="3" t="s">
        <v>96</v>
      </c>
      <c r="AZ35" s="8" t="s">
        <v>69</v>
      </c>
      <c r="BA35" s="3" t="s">
        <v>126</v>
      </c>
      <c r="BB35" s="3" t="s">
        <v>98</v>
      </c>
      <c r="BC35" s="3" t="s">
        <v>99</v>
      </c>
      <c r="BD35" s="12" t="str">
        <f>HYPERLINK("http://www.piaget.com","www.piaget.com")</f>
        <v>www.piaget.com</v>
      </c>
      <c r="BE35" s="12" t="str">
        <f>HYPERLINK("http://www.linkedin.com/company/piaget","http://www.linkedin.com/company/piaget")</f>
        <v>http://www.linkedin.com/company/piaget</v>
      </c>
      <c r="BF35" s="9">
        <v>1263</v>
      </c>
      <c r="BG35" s="3" t="s">
        <v>718</v>
      </c>
      <c r="BH35" s="3" t="s">
        <v>69</v>
      </c>
      <c r="BI35" s="3" t="s">
        <v>69</v>
      </c>
      <c r="BJ35" s="10">
        <v>1873</v>
      </c>
      <c r="BK35" s="3" t="s">
        <v>69</v>
      </c>
      <c r="BL35" s="1">
        <v>45690</v>
      </c>
      <c r="BM35" s="3" t="s">
        <v>69</v>
      </c>
      <c r="BN35" s="3" t="s">
        <v>69</v>
      </c>
      <c r="BO35" s="12" t="str">
        <f>HYPERLINK("https://my.pitchbook.com?c=528903-46","View Company Online")</f>
        <v>View Company Online</v>
      </c>
    </row>
    <row r="36" spans="1:67" x14ac:dyDescent="0.3">
      <c r="A36" s="13" t="s">
        <v>719</v>
      </c>
      <c r="B36" s="13" t="s">
        <v>720</v>
      </c>
      <c r="C36" s="13" t="s">
        <v>69</v>
      </c>
      <c r="D36" s="21" t="s">
        <v>69</v>
      </c>
      <c r="E36" s="13" t="s">
        <v>69</v>
      </c>
      <c r="F36" s="13" t="s">
        <v>69</v>
      </c>
      <c r="G36" s="13" t="s">
        <v>69</v>
      </c>
      <c r="H36" s="13" t="s">
        <v>69</v>
      </c>
      <c r="I36" s="19">
        <v>286.14999999999998</v>
      </c>
      <c r="J36" s="20">
        <v>1.42</v>
      </c>
      <c r="K36" s="19">
        <v>32.22</v>
      </c>
      <c r="L36" s="19">
        <v>0.01</v>
      </c>
      <c r="M36" s="19" t="s">
        <v>69</v>
      </c>
      <c r="N36" s="19">
        <v>12.56</v>
      </c>
      <c r="O36" s="19">
        <v>2</v>
      </c>
      <c r="P36" s="19" t="s">
        <v>69</v>
      </c>
      <c r="Q36" s="19">
        <v>0</v>
      </c>
      <c r="R36" s="18" t="s">
        <v>152</v>
      </c>
      <c r="S36" s="13" t="s">
        <v>721</v>
      </c>
      <c r="T36" s="13" t="s">
        <v>722</v>
      </c>
      <c r="U36" s="13" t="s">
        <v>298</v>
      </c>
      <c r="V36" s="13" t="s">
        <v>69</v>
      </c>
      <c r="W36" s="13" t="s">
        <v>723</v>
      </c>
      <c r="X36" s="13" t="s">
        <v>724</v>
      </c>
      <c r="Y36" s="13" t="s">
        <v>725</v>
      </c>
      <c r="Z36" s="13" t="s">
        <v>726</v>
      </c>
      <c r="AA36" s="13" t="s">
        <v>727</v>
      </c>
      <c r="AB36" s="13" t="s">
        <v>110</v>
      </c>
      <c r="AC36" s="18" t="s">
        <v>728</v>
      </c>
      <c r="AD36" s="13" t="s">
        <v>112</v>
      </c>
      <c r="AE36" s="18" t="s">
        <v>723</v>
      </c>
      <c r="AF36" s="18" t="s">
        <v>69</v>
      </c>
      <c r="AG36" s="13" t="s">
        <v>69</v>
      </c>
      <c r="AH36" s="13" t="s">
        <v>113</v>
      </c>
      <c r="AI36" s="13" t="s">
        <v>114</v>
      </c>
      <c r="AJ36" s="13" t="s">
        <v>729</v>
      </c>
      <c r="AK36" s="13" t="s">
        <v>69</v>
      </c>
      <c r="AL36" s="13" t="s">
        <v>730</v>
      </c>
      <c r="AM36" s="13" t="s">
        <v>731</v>
      </c>
      <c r="AN36" s="13" t="s">
        <v>118</v>
      </c>
      <c r="AO36" s="13" t="s">
        <v>732</v>
      </c>
      <c r="AP36" s="13" t="s">
        <v>719</v>
      </c>
      <c r="AQ36" s="13" t="s">
        <v>733</v>
      </c>
      <c r="AR36" s="13" t="s">
        <v>90</v>
      </c>
      <c r="AS36" s="13" t="s">
        <v>121</v>
      </c>
      <c r="AT36" s="13" t="s">
        <v>166</v>
      </c>
      <c r="AU36" s="13" t="s">
        <v>734</v>
      </c>
      <c r="AV36" s="13" t="s">
        <v>201</v>
      </c>
      <c r="AW36" s="13" t="s">
        <v>735</v>
      </c>
      <c r="AX36" s="13" t="s">
        <v>69</v>
      </c>
      <c r="AY36" s="13" t="s">
        <v>96</v>
      </c>
      <c r="AZ36" s="17" t="s">
        <v>69</v>
      </c>
      <c r="BA36" s="13" t="s">
        <v>126</v>
      </c>
      <c r="BB36" s="13" t="s">
        <v>98</v>
      </c>
      <c r="BC36" s="13" t="s">
        <v>99</v>
      </c>
      <c r="BD36" s="11" t="str">
        <f>HYPERLINK("http://www.beaverbrooks.co.uk","www.beaverbrooks.co.uk")</f>
        <v>www.beaverbrooks.co.uk</v>
      </c>
      <c r="BE36" s="11" t="str">
        <f>HYPERLINK("http://www.linkedin.com/company/beaverbrooks-the-jewellers-ltd","http://www.linkedin.com/company/beaverbrooks-the-jewellers-ltd")</f>
        <v>http://www.linkedin.com/company/beaverbrooks-the-jewellers-ltd</v>
      </c>
      <c r="BF36" s="16">
        <v>1176</v>
      </c>
      <c r="BG36" s="13" t="s">
        <v>736</v>
      </c>
      <c r="BH36" s="13" t="s">
        <v>69</v>
      </c>
      <c r="BI36" s="13" t="s">
        <v>69</v>
      </c>
      <c r="BJ36" s="15">
        <v>1919</v>
      </c>
      <c r="BK36" s="13" t="s">
        <v>69</v>
      </c>
      <c r="BL36" s="14">
        <v>45690</v>
      </c>
      <c r="BM36" s="13" t="s">
        <v>69</v>
      </c>
      <c r="BN36" s="13" t="s">
        <v>69</v>
      </c>
      <c r="BO36" s="11" t="str">
        <f>HYPERLINK("https://my.pitchbook.com?c=213059-53","View Company Online")</f>
        <v>View Company Online</v>
      </c>
    </row>
    <row r="37" spans="1:67" x14ac:dyDescent="0.3">
      <c r="A37" s="3" t="s">
        <v>737</v>
      </c>
      <c r="B37" s="3" t="s">
        <v>738</v>
      </c>
      <c r="C37" s="3" t="s">
        <v>69</v>
      </c>
      <c r="D37" s="5" t="s">
        <v>69</v>
      </c>
      <c r="E37" s="3" t="s">
        <v>739</v>
      </c>
      <c r="F37" s="3" t="s">
        <v>69</v>
      </c>
      <c r="G37" s="3" t="s">
        <v>69</v>
      </c>
      <c r="H37" s="3" t="s">
        <v>69</v>
      </c>
      <c r="I37" s="4">
        <v>248.24</v>
      </c>
      <c r="J37" s="7">
        <v>-8.81</v>
      </c>
      <c r="K37" s="4" t="s">
        <v>69</v>
      </c>
      <c r="L37" s="4">
        <v>5.15</v>
      </c>
      <c r="M37" s="4" t="s">
        <v>69</v>
      </c>
      <c r="N37" s="4">
        <v>10.01</v>
      </c>
      <c r="O37" s="4">
        <v>7.64</v>
      </c>
      <c r="P37" s="4" t="s">
        <v>69</v>
      </c>
      <c r="Q37" s="4">
        <v>0</v>
      </c>
      <c r="R37" s="6" t="s">
        <v>70</v>
      </c>
      <c r="S37" s="3" t="s">
        <v>69</v>
      </c>
      <c r="T37" s="3" t="s">
        <v>69</v>
      </c>
      <c r="U37" s="3" t="s">
        <v>69</v>
      </c>
      <c r="V37" s="3" t="s">
        <v>69</v>
      </c>
      <c r="W37" s="3" t="s">
        <v>69</v>
      </c>
      <c r="X37" s="3" t="s">
        <v>740</v>
      </c>
      <c r="Y37" s="3" t="s">
        <v>741</v>
      </c>
      <c r="Z37" s="3" t="s">
        <v>69</v>
      </c>
      <c r="AA37" s="3" t="s">
        <v>742</v>
      </c>
      <c r="AB37" s="3" t="s">
        <v>69</v>
      </c>
      <c r="AC37" s="6" t="s">
        <v>743</v>
      </c>
      <c r="AD37" s="3" t="s">
        <v>445</v>
      </c>
      <c r="AE37" s="6" t="s">
        <v>744</v>
      </c>
      <c r="AF37" s="6" t="s">
        <v>744</v>
      </c>
      <c r="AG37" s="3" t="s">
        <v>745</v>
      </c>
      <c r="AH37" s="3" t="s">
        <v>113</v>
      </c>
      <c r="AI37" s="3" t="s">
        <v>114</v>
      </c>
      <c r="AJ37" s="3" t="s">
        <v>69</v>
      </c>
      <c r="AK37" s="3" t="s">
        <v>69</v>
      </c>
      <c r="AL37" s="3" t="s">
        <v>746</v>
      </c>
      <c r="AM37" s="3" t="s">
        <v>747</v>
      </c>
      <c r="AN37" s="3" t="s">
        <v>748</v>
      </c>
      <c r="AO37" s="3" t="s">
        <v>69</v>
      </c>
      <c r="AP37" s="3" t="s">
        <v>737</v>
      </c>
      <c r="AQ37" s="3" t="s">
        <v>749</v>
      </c>
      <c r="AR37" s="3" t="s">
        <v>90</v>
      </c>
      <c r="AS37" s="3" t="s">
        <v>510</v>
      </c>
      <c r="AT37" s="3" t="s">
        <v>511</v>
      </c>
      <c r="AU37" s="3" t="s">
        <v>750</v>
      </c>
      <c r="AV37" s="3" t="s">
        <v>656</v>
      </c>
      <c r="AW37" s="3" t="s">
        <v>751</v>
      </c>
      <c r="AX37" s="3" t="s">
        <v>69</v>
      </c>
      <c r="AY37" s="3" t="s">
        <v>96</v>
      </c>
      <c r="AZ37" s="8" t="s">
        <v>69</v>
      </c>
      <c r="BA37" s="3" t="s">
        <v>126</v>
      </c>
      <c r="BB37" s="3" t="s">
        <v>98</v>
      </c>
      <c r="BC37" s="3" t="s">
        <v>99</v>
      </c>
      <c r="BD37" s="12" t="str">
        <f>HYPERLINK("http://casio-europe.com","casio-europe.com")</f>
        <v>casio-europe.com</v>
      </c>
      <c r="BE37" s="12" t="str">
        <f>HYPERLINK("http://www.linkedin.com/company/5585349","http://www.linkedin.com/company/5585349")</f>
        <v>http://www.linkedin.com/company/5585349</v>
      </c>
      <c r="BF37" s="9">
        <v>268</v>
      </c>
      <c r="BG37" s="3" t="s">
        <v>752</v>
      </c>
      <c r="BH37" s="3" t="s">
        <v>69</v>
      </c>
      <c r="BI37" s="3" t="s">
        <v>69</v>
      </c>
      <c r="BJ37" s="10">
        <v>1972</v>
      </c>
      <c r="BK37" s="3" t="s">
        <v>69</v>
      </c>
      <c r="BL37" s="1">
        <v>45652</v>
      </c>
      <c r="BM37" s="3" t="s">
        <v>69</v>
      </c>
      <c r="BN37" s="3" t="s">
        <v>69</v>
      </c>
      <c r="BO37" s="12" t="str">
        <f>HYPERLINK("https://my.pitchbook.com?c=208881-10","View Company Online")</f>
        <v>View Company Online</v>
      </c>
    </row>
    <row r="38" spans="1:67" x14ac:dyDescent="0.3">
      <c r="A38" s="13" t="s">
        <v>753</v>
      </c>
      <c r="B38" s="13" t="s">
        <v>754</v>
      </c>
      <c r="C38" s="13" t="s">
        <v>69</v>
      </c>
      <c r="D38" s="21" t="s">
        <v>69</v>
      </c>
      <c r="E38" s="13" t="s">
        <v>69</v>
      </c>
      <c r="F38" s="13" t="s">
        <v>69</v>
      </c>
      <c r="G38" s="13" t="s">
        <v>69</v>
      </c>
      <c r="H38" s="13" t="s">
        <v>69</v>
      </c>
      <c r="I38" s="19">
        <v>216.57</v>
      </c>
      <c r="J38" s="20">
        <v>14.86</v>
      </c>
      <c r="K38" s="19" t="s">
        <v>69</v>
      </c>
      <c r="L38" s="19">
        <v>39.15</v>
      </c>
      <c r="M38" s="19" t="s">
        <v>69</v>
      </c>
      <c r="N38" s="19" t="s">
        <v>69</v>
      </c>
      <c r="O38" s="19">
        <v>52.73</v>
      </c>
      <c r="P38" s="19" t="s">
        <v>69</v>
      </c>
      <c r="Q38" s="19">
        <v>0</v>
      </c>
      <c r="R38" s="18" t="s">
        <v>321</v>
      </c>
      <c r="S38" s="13" t="s">
        <v>755</v>
      </c>
      <c r="T38" s="13" t="s">
        <v>756</v>
      </c>
      <c r="U38" s="13" t="s">
        <v>73</v>
      </c>
      <c r="V38" s="13" t="s">
        <v>757</v>
      </c>
      <c r="W38" s="13" t="s">
        <v>758</v>
      </c>
      <c r="X38" s="13" t="s">
        <v>759</v>
      </c>
      <c r="Y38" s="13" t="s">
        <v>760</v>
      </c>
      <c r="Z38" s="13" t="s">
        <v>69</v>
      </c>
      <c r="AA38" s="13" t="s">
        <v>761</v>
      </c>
      <c r="AB38" s="13" t="s">
        <v>69</v>
      </c>
      <c r="AC38" s="18" t="s">
        <v>762</v>
      </c>
      <c r="AD38" s="13" t="s">
        <v>763</v>
      </c>
      <c r="AE38" s="18" t="s">
        <v>69</v>
      </c>
      <c r="AF38" s="18" t="s">
        <v>69</v>
      </c>
      <c r="AG38" s="13" t="s">
        <v>764</v>
      </c>
      <c r="AH38" s="13" t="s">
        <v>113</v>
      </c>
      <c r="AI38" s="13" t="s">
        <v>114</v>
      </c>
      <c r="AJ38" s="13" t="s">
        <v>69</v>
      </c>
      <c r="AK38" s="13" t="s">
        <v>69</v>
      </c>
      <c r="AL38" s="13" t="s">
        <v>765</v>
      </c>
      <c r="AM38" s="13" t="s">
        <v>766</v>
      </c>
      <c r="AN38" s="13" t="s">
        <v>767</v>
      </c>
      <c r="AO38" s="13" t="s">
        <v>69</v>
      </c>
      <c r="AP38" s="13" t="s">
        <v>753</v>
      </c>
      <c r="AQ38" s="13" t="s">
        <v>768</v>
      </c>
      <c r="AR38" s="13" t="s">
        <v>90</v>
      </c>
      <c r="AS38" s="13" t="s">
        <v>121</v>
      </c>
      <c r="AT38" s="13" t="s">
        <v>166</v>
      </c>
      <c r="AU38" s="13" t="s">
        <v>167</v>
      </c>
      <c r="AV38" s="13" t="s">
        <v>69</v>
      </c>
      <c r="AW38" s="13" t="s">
        <v>769</v>
      </c>
      <c r="AX38" s="13" t="s">
        <v>69</v>
      </c>
      <c r="AY38" s="13" t="s">
        <v>96</v>
      </c>
      <c r="AZ38" s="17" t="s">
        <v>69</v>
      </c>
      <c r="BA38" s="13" t="s">
        <v>126</v>
      </c>
      <c r="BB38" s="13" t="s">
        <v>98</v>
      </c>
      <c r="BC38" s="13" t="s">
        <v>99</v>
      </c>
      <c r="BD38" s="11" t="str">
        <f>HYPERLINK("http://www.schaapcitroen.nl","www.schaapcitroen.nl")</f>
        <v>www.schaapcitroen.nl</v>
      </c>
      <c r="BE38" s="11" t="str">
        <f>HYPERLINK("http://www.linkedin.com/company/schaap-&amp;-citroen","http://www.linkedin.com/company/schaap-&amp;-citroen")</f>
        <v>http://www.linkedin.com/company/schaap-&amp;-citroen</v>
      </c>
      <c r="BF38" s="16">
        <v>174</v>
      </c>
      <c r="BG38" s="13" t="s">
        <v>770</v>
      </c>
      <c r="BH38" s="13" t="s">
        <v>69</v>
      </c>
      <c r="BI38" s="13" t="s">
        <v>69</v>
      </c>
      <c r="BJ38" s="15">
        <v>1888</v>
      </c>
      <c r="BK38" s="13" t="s">
        <v>771</v>
      </c>
      <c r="BL38" s="14">
        <v>45749</v>
      </c>
      <c r="BM38" s="13" t="s">
        <v>69</v>
      </c>
      <c r="BN38" s="13" t="s">
        <v>69</v>
      </c>
      <c r="BO38" s="11" t="str">
        <f>HYPERLINK("https://my.pitchbook.com?c=205265-26","View Company Online")</f>
        <v>View Company Online</v>
      </c>
    </row>
    <row r="39" spans="1:67" x14ac:dyDescent="0.3">
      <c r="A39" s="3" t="s">
        <v>772</v>
      </c>
      <c r="B39" s="3" t="s">
        <v>773</v>
      </c>
      <c r="C39" s="3" t="s">
        <v>69</v>
      </c>
      <c r="D39" s="5" t="s">
        <v>69</v>
      </c>
      <c r="E39" s="3" t="s">
        <v>69</v>
      </c>
      <c r="F39" s="3" t="s">
        <v>69</v>
      </c>
      <c r="G39" s="3" t="s">
        <v>69</v>
      </c>
      <c r="H39" s="3" t="s">
        <v>69</v>
      </c>
      <c r="I39" s="4">
        <v>216.53</v>
      </c>
      <c r="J39" s="7">
        <v>5.64</v>
      </c>
      <c r="K39" s="4" t="s">
        <v>69</v>
      </c>
      <c r="L39" s="4">
        <v>17.21</v>
      </c>
      <c r="M39" s="4" t="s">
        <v>69</v>
      </c>
      <c r="N39" s="4">
        <v>32.380000000000003</v>
      </c>
      <c r="O39" s="4">
        <v>27.72</v>
      </c>
      <c r="P39" s="4" t="s">
        <v>69</v>
      </c>
      <c r="Q39" s="4">
        <v>0</v>
      </c>
      <c r="R39" s="6" t="s">
        <v>70</v>
      </c>
      <c r="S39" s="3" t="s">
        <v>774</v>
      </c>
      <c r="T39" s="3" t="s">
        <v>775</v>
      </c>
      <c r="U39" s="3" t="s">
        <v>776</v>
      </c>
      <c r="V39" s="3" t="s">
        <v>777</v>
      </c>
      <c r="W39" s="3" t="s">
        <v>778</v>
      </c>
      <c r="X39" s="3" t="s">
        <v>779</v>
      </c>
      <c r="Y39" s="3" t="s">
        <v>780</v>
      </c>
      <c r="Z39" s="3" t="s">
        <v>781</v>
      </c>
      <c r="AA39" s="3" t="s">
        <v>782</v>
      </c>
      <c r="AB39" s="3" t="s">
        <v>69</v>
      </c>
      <c r="AC39" s="6" t="s">
        <v>783</v>
      </c>
      <c r="AD39" s="3" t="s">
        <v>784</v>
      </c>
      <c r="AE39" s="6" t="s">
        <v>778</v>
      </c>
      <c r="AF39" s="6" t="s">
        <v>69</v>
      </c>
      <c r="AG39" s="3" t="s">
        <v>785</v>
      </c>
      <c r="AH39" s="3" t="s">
        <v>113</v>
      </c>
      <c r="AI39" s="3" t="s">
        <v>333</v>
      </c>
      <c r="AJ39" s="3" t="s">
        <v>69</v>
      </c>
      <c r="AK39" s="3" t="s">
        <v>69</v>
      </c>
      <c r="AL39" s="3" t="s">
        <v>786</v>
      </c>
      <c r="AM39" s="3" t="s">
        <v>787</v>
      </c>
      <c r="AN39" s="3" t="s">
        <v>788</v>
      </c>
      <c r="AO39" s="3" t="s">
        <v>69</v>
      </c>
      <c r="AP39" s="3" t="s">
        <v>772</v>
      </c>
      <c r="AQ39" s="3" t="s">
        <v>789</v>
      </c>
      <c r="AR39" s="3" t="s">
        <v>90</v>
      </c>
      <c r="AS39" s="3" t="s">
        <v>121</v>
      </c>
      <c r="AT39" s="3" t="s">
        <v>166</v>
      </c>
      <c r="AU39" s="3" t="s">
        <v>790</v>
      </c>
      <c r="AV39" s="3" t="s">
        <v>791</v>
      </c>
      <c r="AW39" s="3" t="s">
        <v>792</v>
      </c>
      <c r="AX39" s="3" t="s">
        <v>69</v>
      </c>
      <c r="AY39" s="3" t="s">
        <v>96</v>
      </c>
      <c r="AZ39" s="8" t="s">
        <v>69</v>
      </c>
      <c r="BA39" s="3" t="s">
        <v>126</v>
      </c>
      <c r="BB39" s="3" t="s">
        <v>98</v>
      </c>
      <c r="BC39" s="3" t="s">
        <v>99</v>
      </c>
      <c r="BD39" s="12" t="str">
        <f>HYPERLINK("http://www.apart.pl","www.apart.pl")</f>
        <v>www.apart.pl</v>
      </c>
      <c r="BE39" s="3" t="s">
        <v>69</v>
      </c>
      <c r="BF39" s="9">
        <v>2006</v>
      </c>
      <c r="BG39" s="3" t="s">
        <v>793</v>
      </c>
      <c r="BH39" s="3" t="s">
        <v>69</v>
      </c>
      <c r="BI39" s="3" t="s">
        <v>69</v>
      </c>
      <c r="BJ39" s="10">
        <v>1977</v>
      </c>
      <c r="BK39" s="3" t="s">
        <v>69</v>
      </c>
      <c r="BL39" s="1">
        <v>45674</v>
      </c>
      <c r="BM39" s="3" t="s">
        <v>69</v>
      </c>
      <c r="BN39" s="3" t="s">
        <v>69</v>
      </c>
      <c r="BO39" s="12" t="str">
        <f>HYPERLINK("https://my.pitchbook.com?c=464506-75","View Company Online")</f>
        <v>View Company Online</v>
      </c>
    </row>
    <row r="40" spans="1:67" x14ac:dyDescent="0.3">
      <c r="A40" s="13" t="s">
        <v>794</v>
      </c>
      <c r="B40" s="13" t="s">
        <v>795</v>
      </c>
      <c r="C40" s="13" t="s">
        <v>69</v>
      </c>
      <c r="D40" s="21" t="s">
        <v>69</v>
      </c>
      <c r="E40" s="13" t="s">
        <v>69</v>
      </c>
      <c r="F40" s="13" t="s">
        <v>69</v>
      </c>
      <c r="G40" s="13" t="s">
        <v>69</v>
      </c>
      <c r="H40" s="13" t="s">
        <v>69</v>
      </c>
      <c r="I40" s="19">
        <v>212.64</v>
      </c>
      <c r="J40" s="20">
        <v>-2.36</v>
      </c>
      <c r="K40" s="19" t="s">
        <v>69</v>
      </c>
      <c r="L40" s="19">
        <v>1.01</v>
      </c>
      <c r="M40" s="19" t="s">
        <v>69</v>
      </c>
      <c r="N40" s="19">
        <v>6.63</v>
      </c>
      <c r="O40" s="19">
        <v>2.63</v>
      </c>
      <c r="P40" s="19" t="s">
        <v>69</v>
      </c>
      <c r="Q40" s="19">
        <v>13.09</v>
      </c>
      <c r="R40" s="18" t="s">
        <v>70</v>
      </c>
      <c r="S40" s="13" t="s">
        <v>796</v>
      </c>
      <c r="T40" s="13" t="s">
        <v>797</v>
      </c>
      <c r="U40" s="13" t="s">
        <v>798</v>
      </c>
      <c r="V40" s="13" t="s">
        <v>799</v>
      </c>
      <c r="W40" s="13" t="s">
        <v>800</v>
      </c>
      <c r="X40" s="13" t="s">
        <v>801</v>
      </c>
      <c r="Y40" s="13" t="s">
        <v>802</v>
      </c>
      <c r="Z40" s="13" t="s">
        <v>69</v>
      </c>
      <c r="AA40" s="13" t="s">
        <v>803</v>
      </c>
      <c r="AB40" s="13" t="s">
        <v>804</v>
      </c>
      <c r="AC40" s="18" t="s">
        <v>805</v>
      </c>
      <c r="AD40" s="13" t="s">
        <v>806</v>
      </c>
      <c r="AE40" s="18" t="s">
        <v>800</v>
      </c>
      <c r="AF40" s="18" t="s">
        <v>69</v>
      </c>
      <c r="AG40" s="13" t="s">
        <v>807</v>
      </c>
      <c r="AH40" s="13" t="s">
        <v>113</v>
      </c>
      <c r="AI40" s="13" t="s">
        <v>307</v>
      </c>
      <c r="AJ40" s="13" t="s">
        <v>69</v>
      </c>
      <c r="AK40" s="13" t="s">
        <v>69</v>
      </c>
      <c r="AL40" s="13" t="s">
        <v>808</v>
      </c>
      <c r="AM40" s="13" t="s">
        <v>809</v>
      </c>
      <c r="AN40" s="13" t="s">
        <v>810</v>
      </c>
      <c r="AO40" s="13" t="s">
        <v>69</v>
      </c>
      <c r="AP40" s="13" t="s">
        <v>794</v>
      </c>
      <c r="AQ40" s="13" t="s">
        <v>811</v>
      </c>
      <c r="AR40" s="13" t="s">
        <v>90</v>
      </c>
      <c r="AS40" s="13" t="s">
        <v>337</v>
      </c>
      <c r="AT40" s="13" t="s">
        <v>812</v>
      </c>
      <c r="AU40" s="13" t="s">
        <v>813</v>
      </c>
      <c r="AV40" s="13" t="s">
        <v>94</v>
      </c>
      <c r="AW40" s="13" t="s">
        <v>814</v>
      </c>
      <c r="AX40" s="13" t="s">
        <v>69</v>
      </c>
      <c r="AY40" s="13" t="s">
        <v>96</v>
      </c>
      <c r="AZ40" s="17" t="s">
        <v>69</v>
      </c>
      <c r="BA40" s="13" t="s">
        <v>126</v>
      </c>
      <c r="BB40" s="13" t="s">
        <v>98</v>
      </c>
      <c r="BC40" s="13" t="s">
        <v>99</v>
      </c>
      <c r="BD40" s="11" t="str">
        <f>HYPERLINK("http://www.rstore.it","www.rstore.it")</f>
        <v>www.rstore.it</v>
      </c>
      <c r="BE40" s="11" t="str">
        <f>HYPERLINK("http://www.linkedin.com/company/rstore-spa","http://www.linkedin.com/company/rstore-spa")</f>
        <v>http://www.linkedin.com/company/rstore-spa</v>
      </c>
      <c r="BF40" s="16">
        <v>312</v>
      </c>
      <c r="BG40" s="13" t="s">
        <v>815</v>
      </c>
      <c r="BH40" s="13" t="s">
        <v>69</v>
      </c>
      <c r="BI40" s="13" t="s">
        <v>69</v>
      </c>
      <c r="BJ40" s="15">
        <v>2008</v>
      </c>
      <c r="BK40" s="13" t="s">
        <v>69</v>
      </c>
      <c r="BL40" s="14">
        <v>45650</v>
      </c>
      <c r="BM40" s="13" t="s">
        <v>69</v>
      </c>
      <c r="BN40" s="13" t="s">
        <v>69</v>
      </c>
      <c r="BO40" s="11" t="str">
        <f>HYPERLINK("https://my.pitchbook.com?c=426020-95","View Company Online")</f>
        <v>View Company Online</v>
      </c>
    </row>
    <row r="41" spans="1:67" x14ac:dyDescent="0.3">
      <c r="A41" s="3" t="s">
        <v>816</v>
      </c>
      <c r="B41" s="3" t="s">
        <v>817</v>
      </c>
      <c r="C41" s="3" t="s">
        <v>69</v>
      </c>
      <c r="D41" s="5" t="s">
        <v>69</v>
      </c>
      <c r="E41" s="3" t="s">
        <v>69</v>
      </c>
      <c r="F41" s="3" t="s">
        <v>69</v>
      </c>
      <c r="G41" s="3" t="s">
        <v>69</v>
      </c>
      <c r="H41" s="3" t="s">
        <v>69</v>
      </c>
      <c r="I41" s="4">
        <v>200</v>
      </c>
      <c r="J41" s="7" t="s">
        <v>69</v>
      </c>
      <c r="K41" s="4" t="s">
        <v>69</v>
      </c>
      <c r="L41" s="4" t="s">
        <v>69</v>
      </c>
      <c r="M41" s="4" t="s">
        <v>69</v>
      </c>
      <c r="N41" s="4" t="s">
        <v>69</v>
      </c>
      <c r="O41" s="4" t="s">
        <v>69</v>
      </c>
      <c r="P41" s="4" t="s">
        <v>69</v>
      </c>
      <c r="Q41" s="4" t="s">
        <v>69</v>
      </c>
      <c r="R41" s="6" t="s">
        <v>152</v>
      </c>
      <c r="S41" s="3" t="s">
        <v>69</v>
      </c>
      <c r="T41" s="3" t="s">
        <v>69</v>
      </c>
      <c r="U41" s="3" t="s">
        <v>69</v>
      </c>
      <c r="V41" s="3" t="s">
        <v>69</v>
      </c>
      <c r="W41" s="3" t="s">
        <v>69</v>
      </c>
      <c r="X41" s="3" t="s">
        <v>818</v>
      </c>
      <c r="Y41" s="3" t="s">
        <v>819</v>
      </c>
      <c r="Z41" s="3" t="s">
        <v>69</v>
      </c>
      <c r="AA41" s="3" t="s">
        <v>820</v>
      </c>
      <c r="AB41" s="3" t="s">
        <v>409</v>
      </c>
      <c r="AC41" s="6" t="s">
        <v>821</v>
      </c>
      <c r="AD41" s="3" t="s">
        <v>177</v>
      </c>
      <c r="AE41" s="6" t="s">
        <v>69</v>
      </c>
      <c r="AF41" s="6" t="s">
        <v>69</v>
      </c>
      <c r="AG41" s="3" t="s">
        <v>822</v>
      </c>
      <c r="AH41" s="3" t="s">
        <v>178</v>
      </c>
      <c r="AI41" s="3" t="s">
        <v>179</v>
      </c>
      <c r="AJ41" s="3" t="s">
        <v>69</v>
      </c>
      <c r="AK41" s="3" t="s">
        <v>69</v>
      </c>
      <c r="AL41" s="3" t="s">
        <v>69</v>
      </c>
      <c r="AM41" s="3" t="s">
        <v>69</v>
      </c>
      <c r="AN41" s="3" t="s">
        <v>69</v>
      </c>
      <c r="AO41" s="3" t="s">
        <v>823</v>
      </c>
      <c r="AP41" s="3" t="s">
        <v>816</v>
      </c>
      <c r="AQ41" s="3" t="s">
        <v>824</v>
      </c>
      <c r="AR41" s="3" t="s">
        <v>90</v>
      </c>
      <c r="AS41" s="3" t="s">
        <v>337</v>
      </c>
      <c r="AT41" s="3" t="s">
        <v>812</v>
      </c>
      <c r="AU41" s="3" t="s">
        <v>825</v>
      </c>
      <c r="AV41" s="3" t="s">
        <v>69</v>
      </c>
      <c r="AW41" s="3" t="s">
        <v>826</v>
      </c>
      <c r="AX41" s="3" t="s">
        <v>69</v>
      </c>
      <c r="AY41" s="3" t="s">
        <v>96</v>
      </c>
      <c r="AZ41" s="8" t="s">
        <v>69</v>
      </c>
      <c r="BA41" s="3" t="s">
        <v>126</v>
      </c>
      <c r="BB41" s="3" t="s">
        <v>98</v>
      </c>
      <c r="BC41" s="3" t="s">
        <v>827</v>
      </c>
      <c r="BD41" s="12" t="str">
        <f>HYPERLINK("http://www.jomashop.com","www.jomashop.com")</f>
        <v>www.jomashop.com</v>
      </c>
      <c r="BE41" s="12" t="str">
        <f>HYPERLINK("http://www.linkedin.com/company/jomashop-com","http://www.linkedin.com/company/jomashop-com")</f>
        <v>http://www.linkedin.com/company/jomashop-com</v>
      </c>
      <c r="BF41" s="9">
        <v>52</v>
      </c>
      <c r="BG41" s="3" t="s">
        <v>828</v>
      </c>
      <c r="BH41" s="3" t="s">
        <v>69</v>
      </c>
      <c r="BI41" s="3" t="s">
        <v>69</v>
      </c>
      <c r="BJ41" s="10">
        <v>1987</v>
      </c>
      <c r="BK41" s="3" t="s">
        <v>69</v>
      </c>
      <c r="BL41" s="1">
        <v>45183</v>
      </c>
      <c r="BM41" s="3" t="s">
        <v>69</v>
      </c>
      <c r="BN41" s="3" t="s">
        <v>69</v>
      </c>
      <c r="BO41" s="12" t="str">
        <f>HYPERLINK("https://my.pitchbook.com?c=295177-15","View Company Online")</f>
        <v>View Company Online</v>
      </c>
    </row>
    <row r="42" spans="1:67" x14ac:dyDescent="0.3">
      <c r="A42" s="13" t="s">
        <v>829</v>
      </c>
      <c r="B42" s="13" t="s">
        <v>830</v>
      </c>
      <c r="C42" s="13" t="s">
        <v>69</v>
      </c>
      <c r="D42" s="21" t="s">
        <v>69</v>
      </c>
      <c r="E42" s="13" t="s">
        <v>69</v>
      </c>
      <c r="F42" s="13" t="s">
        <v>69</v>
      </c>
      <c r="G42" s="13" t="s">
        <v>69</v>
      </c>
      <c r="H42" s="13" t="s">
        <v>69</v>
      </c>
      <c r="I42" s="19">
        <v>160.52000000000001</v>
      </c>
      <c r="J42" s="20">
        <v>6.82</v>
      </c>
      <c r="K42" s="19" t="s">
        <v>69</v>
      </c>
      <c r="L42" s="19">
        <v>9.57</v>
      </c>
      <c r="M42" s="19" t="s">
        <v>69</v>
      </c>
      <c r="N42" s="19">
        <v>15.8</v>
      </c>
      <c r="O42" s="19">
        <v>13.83</v>
      </c>
      <c r="P42" s="19" t="s">
        <v>69</v>
      </c>
      <c r="Q42" s="19">
        <v>32.53</v>
      </c>
      <c r="R42" s="18" t="s">
        <v>70</v>
      </c>
      <c r="S42" s="13" t="s">
        <v>69</v>
      </c>
      <c r="T42" s="13" t="s">
        <v>69</v>
      </c>
      <c r="U42" s="13" t="s">
        <v>69</v>
      </c>
      <c r="V42" s="13" t="s">
        <v>69</v>
      </c>
      <c r="W42" s="13" t="s">
        <v>69</v>
      </c>
      <c r="X42" s="13" t="s">
        <v>831</v>
      </c>
      <c r="Y42" s="13" t="s">
        <v>832</v>
      </c>
      <c r="Z42" s="13" t="s">
        <v>69</v>
      </c>
      <c r="AA42" s="13" t="s">
        <v>833</v>
      </c>
      <c r="AB42" s="13" t="s">
        <v>834</v>
      </c>
      <c r="AC42" s="18" t="s">
        <v>835</v>
      </c>
      <c r="AD42" s="13" t="s">
        <v>139</v>
      </c>
      <c r="AE42" s="18" t="s">
        <v>69</v>
      </c>
      <c r="AF42" s="18" t="s">
        <v>69</v>
      </c>
      <c r="AG42" s="13" t="s">
        <v>69</v>
      </c>
      <c r="AH42" s="13" t="s">
        <v>113</v>
      </c>
      <c r="AI42" s="13" t="s">
        <v>114</v>
      </c>
      <c r="AJ42" s="13" t="s">
        <v>69</v>
      </c>
      <c r="AK42" s="13" t="s">
        <v>69</v>
      </c>
      <c r="AL42" s="13" t="s">
        <v>69</v>
      </c>
      <c r="AM42" s="13" t="s">
        <v>836</v>
      </c>
      <c r="AN42" s="13" t="s">
        <v>142</v>
      </c>
      <c r="AO42" s="13" t="s">
        <v>69</v>
      </c>
      <c r="AP42" s="13" t="s">
        <v>829</v>
      </c>
      <c r="AQ42" s="13" t="s">
        <v>837</v>
      </c>
      <c r="AR42" s="13" t="s">
        <v>90</v>
      </c>
      <c r="AS42" s="13" t="s">
        <v>838</v>
      </c>
      <c r="AT42" s="13" t="s">
        <v>839</v>
      </c>
      <c r="AU42" s="13" t="s">
        <v>840</v>
      </c>
      <c r="AV42" s="13" t="s">
        <v>69</v>
      </c>
      <c r="AW42" s="13" t="s">
        <v>69</v>
      </c>
      <c r="AX42" s="13" t="s">
        <v>69</v>
      </c>
      <c r="AY42" s="13" t="s">
        <v>96</v>
      </c>
      <c r="AZ42" s="17" t="s">
        <v>69</v>
      </c>
      <c r="BA42" s="13" t="s">
        <v>69</v>
      </c>
      <c r="BB42" s="13" t="s">
        <v>98</v>
      </c>
      <c r="BC42" s="13" t="s">
        <v>99</v>
      </c>
      <c r="BD42" s="11" t="str">
        <f>HYPERLINK("http://strego.nl","strego.nl")</f>
        <v>strego.nl</v>
      </c>
      <c r="BE42" s="13" t="s">
        <v>69</v>
      </c>
      <c r="BF42" s="16">
        <v>993</v>
      </c>
      <c r="BG42" s="13" t="s">
        <v>841</v>
      </c>
      <c r="BH42" s="13" t="s">
        <v>69</v>
      </c>
      <c r="BI42" s="13" t="s">
        <v>69</v>
      </c>
      <c r="BJ42" s="15">
        <v>1963</v>
      </c>
      <c r="BK42" s="13" t="s">
        <v>69</v>
      </c>
      <c r="BL42" s="14">
        <v>45136</v>
      </c>
      <c r="BM42" s="13" t="s">
        <v>69</v>
      </c>
      <c r="BN42" s="13" t="s">
        <v>69</v>
      </c>
      <c r="BO42" s="11" t="str">
        <f>HYPERLINK("https://my.pitchbook.com?c=206060-59","View Company Online")</f>
        <v>View Company Online</v>
      </c>
    </row>
    <row r="43" spans="1:67" x14ac:dyDescent="0.3">
      <c r="A43" s="3" t="s">
        <v>842</v>
      </c>
      <c r="B43" s="3" t="s">
        <v>843</v>
      </c>
      <c r="C43" s="3" t="s">
        <v>69</v>
      </c>
      <c r="D43" s="5" t="s">
        <v>69</v>
      </c>
      <c r="E43" s="3" t="s">
        <v>69</v>
      </c>
      <c r="F43" s="3" t="s">
        <v>69</v>
      </c>
      <c r="G43" s="3" t="s">
        <v>69</v>
      </c>
      <c r="H43" s="3" t="s">
        <v>69</v>
      </c>
      <c r="I43" s="4">
        <v>157.84</v>
      </c>
      <c r="J43" s="7">
        <v>18.190000000000001</v>
      </c>
      <c r="K43" s="4" t="s">
        <v>69</v>
      </c>
      <c r="L43" s="4">
        <v>5.3</v>
      </c>
      <c r="M43" s="4" t="s">
        <v>69</v>
      </c>
      <c r="N43" s="4" t="s">
        <v>69</v>
      </c>
      <c r="O43" s="4">
        <v>5.21</v>
      </c>
      <c r="P43" s="4" t="s">
        <v>69</v>
      </c>
      <c r="Q43" s="4" t="s">
        <v>69</v>
      </c>
      <c r="R43" s="6" t="s">
        <v>70</v>
      </c>
      <c r="S43" s="3" t="s">
        <v>844</v>
      </c>
      <c r="T43" s="3" t="s">
        <v>845</v>
      </c>
      <c r="U43" s="3" t="s">
        <v>73</v>
      </c>
      <c r="V43" s="3" t="s">
        <v>846</v>
      </c>
      <c r="W43" s="3" t="s">
        <v>847</v>
      </c>
      <c r="X43" s="3" t="s">
        <v>848</v>
      </c>
      <c r="Y43" s="3" t="s">
        <v>849</v>
      </c>
      <c r="Z43" s="3" t="s">
        <v>69</v>
      </c>
      <c r="AA43" s="3" t="s">
        <v>850</v>
      </c>
      <c r="AB43" s="3" t="s">
        <v>851</v>
      </c>
      <c r="AC43" s="6" t="s">
        <v>852</v>
      </c>
      <c r="AD43" s="3" t="s">
        <v>306</v>
      </c>
      <c r="AE43" s="6" t="s">
        <v>847</v>
      </c>
      <c r="AF43" s="6" t="s">
        <v>69</v>
      </c>
      <c r="AG43" s="3" t="s">
        <v>853</v>
      </c>
      <c r="AH43" s="3" t="s">
        <v>113</v>
      </c>
      <c r="AI43" s="3" t="s">
        <v>307</v>
      </c>
      <c r="AJ43" s="3" t="s">
        <v>854</v>
      </c>
      <c r="AK43" s="3" t="s">
        <v>69</v>
      </c>
      <c r="AL43" s="3" t="s">
        <v>855</v>
      </c>
      <c r="AM43" s="3" t="s">
        <v>856</v>
      </c>
      <c r="AN43" s="3" t="s">
        <v>311</v>
      </c>
      <c r="AO43" s="3" t="s">
        <v>69</v>
      </c>
      <c r="AP43" s="3" t="s">
        <v>842</v>
      </c>
      <c r="AQ43" s="3" t="s">
        <v>857</v>
      </c>
      <c r="AR43" s="3" t="s">
        <v>90</v>
      </c>
      <c r="AS43" s="3" t="s">
        <v>337</v>
      </c>
      <c r="AT43" s="3" t="s">
        <v>812</v>
      </c>
      <c r="AU43" s="3" t="s">
        <v>858</v>
      </c>
      <c r="AV43" s="3" t="s">
        <v>340</v>
      </c>
      <c r="AW43" s="3" t="s">
        <v>859</v>
      </c>
      <c r="AX43" s="3" t="s">
        <v>69</v>
      </c>
      <c r="AY43" s="3" t="s">
        <v>96</v>
      </c>
      <c r="AZ43" s="8" t="s">
        <v>69</v>
      </c>
      <c r="BA43" s="3" t="s">
        <v>126</v>
      </c>
      <c r="BB43" s="3" t="s">
        <v>98</v>
      </c>
      <c r="BC43" s="3" t="s">
        <v>99</v>
      </c>
      <c r="BD43" s="12" t="str">
        <f>HYPERLINK("http://www.fundgrube.com","www.fundgrube.com")</f>
        <v>www.fundgrube.com</v>
      </c>
      <c r="BE43" s="12" t="str">
        <f>HYPERLINK("http://www.linkedin.com/company/fund-grube","http://www.linkedin.com/company/fund-grube")</f>
        <v>http://www.linkedin.com/company/fund-grube</v>
      </c>
      <c r="BF43" s="9" t="s">
        <v>69</v>
      </c>
      <c r="BG43" s="3" t="s">
        <v>69</v>
      </c>
      <c r="BH43" s="3" t="s">
        <v>69</v>
      </c>
      <c r="BI43" s="3" t="s">
        <v>69</v>
      </c>
      <c r="BJ43" s="10">
        <v>1983</v>
      </c>
      <c r="BK43" s="3" t="s">
        <v>69</v>
      </c>
      <c r="BL43" s="1">
        <v>45722</v>
      </c>
      <c r="BM43" s="3" t="s">
        <v>69</v>
      </c>
      <c r="BN43" s="3" t="s">
        <v>69</v>
      </c>
      <c r="BO43" s="12" t="str">
        <f>HYPERLINK("https://my.pitchbook.com?c=612056-62","View Company Online")</f>
        <v>View Company Online</v>
      </c>
    </row>
    <row r="44" spans="1:67" x14ac:dyDescent="0.3">
      <c r="A44" s="13" t="s">
        <v>860</v>
      </c>
      <c r="B44" s="13" t="s">
        <v>861</v>
      </c>
      <c r="C44" s="13" t="s">
        <v>69</v>
      </c>
      <c r="D44" s="21" t="s">
        <v>69</v>
      </c>
      <c r="E44" s="13" t="s">
        <v>69</v>
      </c>
      <c r="F44" s="13" t="s">
        <v>69</v>
      </c>
      <c r="G44" s="13" t="s">
        <v>69</v>
      </c>
      <c r="H44" s="13" t="s">
        <v>862</v>
      </c>
      <c r="I44" s="19">
        <v>139.80000000000001</v>
      </c>
      <c r="J44" s="20">
        <v>3.56</v>
      </c>
      <c r="K44" s="19" t="s">
        <v>69</v>
      </c>
      <c r="L44" s="19">
        <v>2.38</v>
      </c>
      <c r="M44" s="19" t="s">
        <v>69</v>
      </c>
      <c r="N44" s="19" t="s">
        <v>69</v>
      </c>
      <c r="O44" s="19">
        <v>3.33</v>
      </c>
      <c r="P44" s="19" t="s">
        <v>69</v>
      </c>
      <c r="Q44" s="19" t="s">
        <v>69</v>
      </c>
      <c r="R44" s="18" t="s">
        <v>152</v>
      </c>
      <c r="S44" s="13" t="s">
        <v>863</v>
      </c>
      <c r="T44" s="13" t="s">
        <v>864</v>
      </c>
      <c r="U44" s="13" t="s">
        <v>865</v>
      </c>
      <c r="V44" s="13" t="s">
        <v>69</v>
      </c>
      <c r="W44" s="13" t="s">
        <v>866</v>
      </c>
      <c r="X44" s="13" t="s">
        <v>423</v>
      </c>
      <c r="Y44" s="13" t="s">
        <v>867</v>
      </c>
      <c r="Z44" s="13" t="s">
        <v>868</v>
      </c>
      <c r="AA44" s="13" t="s">
        <v>426</v>
      </c>
      <c r="AB44" s="13" t="s">
        <v>869</v>
      </c>
      <c r="AC44" s="18" t="s">
        <v>69</v>
      </c>
      <c r="AD44" s="13" t="s">
        <v>289</v>
      </c>
      <c r="AE44" s="18" t="s">
        <v>866</v>
      </c>
      <c r="AF44" s="18" t="s">
        <v>69</v>
      </c>
      <c r="AG44" s="13" t="s">
        <v>870</v>
      </c>
      <c r="AH44" s="13" t="s">
        <v>83</v>
      </c>
      <c r="AI44" s="13" t="s">
        <v>84</v>
      </c>
      <c r="AJ44" s="13" t="s">
        <v>69</v>
      </c>
      <c r="AK44" s="13" t="s">
        <v>69</v>
      </c>
      <c r="AL44" s="13" t="s">
        <v>871</v>
      </c>
      <c r="AM44" s="13" t="s">
        <v>69</v>
      </c>
      <c r="AN44" s="13" t="s">
        <v>69</v>
      </c>
      <c r="AO44" s="13" t="s">
        <v>69</v>
      </c>
      <c r="AP44" s="13" t="s">
        <v>860</v>
      </c>
      <c r="AQ44" s="13" t="s">
        <v>872</v>
      </c>
      <c r="AR44" s="13" t="s">
        <v>90</v>
      </c>
      <c r="AS44" s="13" t="s">
        <v>337</v>
      </c>
      <c r="AT44" s="13" t="s">
        <v>812</v>
      </c>
      <c r="AU44" s="13" t="s">
        <v>873</v>
      </c>
      <c r="AV44" s="13" t="s">
        <v>69</v>
      </c>
      <c r="AW44" s="13" t="s">
        <v>874</v>
      </c>
      <c r="AX44" s="13" t="s">
        <v>69</v>
      </c>
      <c r="AY44" s="13" t="s">
        <v>875</v>
      </c>
      <c r="AZ44" s="17" t="s">
        <v>69</v>
      </c>
      <c r="BA44" s="13" t="s">
        <v>126</v>
      </c>
      <c r="BB44" s="13" t="s">
        <v>98</v>
      </c>
      <c r="BC44" s="13" t="s">
        <v>356</v>
      </c>
      <c r="BD44" s="11" t="str">
        <f>HYPERLINK("http://www.rk-enterprise.jp","www.rk-enterprise.jp")</f>
        <v>www.rk-enterprise.jp</v>
      </c>
      <c r="BE44" s="13" t="s">
        <v>69</v>
      </c>
      <c r="BF44" s="16">
        <v>210</v>
      </c>
      <c r="BG44" s="13" t="s">
        <v>876</v>
      </c>
      <c r="BH44" s="13" t="s">
        <v>69</v>
      </c>
      <c r="BI44" s="13" t="s">
        <v>69</v>
      </c>
      <c r="BJ44" s="15">
        <v>1954</v>
      </c>
      <c r="BK44" s="13" t="s">
        <v>69</v>
      </c>
      <c r="BL44" s="14">
        <v>45638</v>
      </c>
      <c r="BM44" s="13" t="s">
        <v>69</v>
      </c>
      <c r="BN44" s="13" t="s">
        <v>69</v>
      </c>
      <c r="BO44" s="11" t="str">
        <f>HYPERLINK("https://my.pitchbook.com?c=676048-42","View Company Online")</f>
        <v>View Company Online</v>
      </c>
    </row>
    <row r="45" spans="1:67" x14ac:dyDescent="0.3">
      <c r="A45" s="3" t="s">
        <v>877</v>
      </c>
      <c r="B45" s="3" t="s">
        <v>878</v>
      </c>
      <c r="C45" s="3" t="s">
        <v>69</v>
      </c>
      <c r="D45" s="5" t="s">
        <v>69</v>
      </c>
      <c r="E45" s="3" t="s">
        <v>69</v>
      </c>
      <c r="F45" s="3" t="s">
        <v>69</v>
      </c>
      <c r="G45" s="3" t="s">
        <v>69</v>
      </c>
      <c r="H45" s="3" t="s">
        <v>69</v>
      </c>
      <c r="I45" s="4">
        <v>129.97</v>
      </c>
      <c r="J45" s="7">
        <v>5.33</v>
      </c>
      <c r="K45" s="4" t="s">
        <v>69</v>
      </c>
      <c r="L45" s="4">
        <v>38.479999999999997</v>
      </c>
      <c r="M45" s="4" t="s">
        <v>69</v>
      </c>
      <c r="N45" s="4">
        <v>46.87</v>
      </c>
      <c r="O45" s="4">
        <v>38.93</v>
      </c>
      <c r="P45" s="4" t="s">
        <v>69</v>
      </c>
      <c r="Q45" s="4">
        <v>2.0299999999999998</v>
      </c>
      <c r="R45" s="6" t="s">
        <v>70</v>
      </c>
      <c r="S45" s="3" t="s">
        <v>879</v>
      </c>
      <c r="T45" s="3" t="s">
        <v>880</v>
      </c>
      <c r="U45" s="3" t="s">
        <v>282</v>
      </c>
      <c r="V45" s="3" t="s">
        <v>881</v>
      </c>
      <c r="W45" s="3" t="s">
        <v>882</v>
      </c>
      <c r="X45" s="3" t="s">
        <v>135</v>
      </c>
      <c r="Y45" s="3" t="s">
        <v>883</v>
      </c>
      <c r="Z45" s="3" t="s">
        <v>69</v>
      </c>
      <c r="AA45" s="3" t="s">
        <v>137</v>
      </c>
      <c r="AB45" s="3" t="s">
        <v>69</v>
      </c>
      <c r="AC45" s="6" t="s">
        <v>138</v>
      </c>
      <c r="AD45" s="3" t="s">
        <v>139</v>
      </c>
      <c r="AE45" s="6" t="s">
        <v>882</v>
      </c>
      <c r="AF45" s="6" t="s">
        <v>69</v>
      </c>
      <c r="AG45" s="3" t="s">
        <v>884</v>
      </c>
      <c r="AH45" s="3" t="s">
        <v>113</v>
      </c>
      <c r="AI45" s="3" t="s">
        <v>114</v>
      </c>
      <c r="AJ45" s="3" t="s">
        <v>69</v>
      </c>
      <c r="AK45" s="3" t="s">
        <v>885</v>
      </c>
      <c r="AL45" s="3" t="s">
        <v>886</v>
      </c>
      <c r="AM45" s="3" t="s">
        <v>887</v>
      </c>
      <c r="AN45" s="3" t="s">
        <v>142</v>
      </c>
      <c r="AO45" s="3" t="s">
        <v>69</v>
      </c>
      <c r="AP45" s="3" t="s">
        <v>877</v>
      </c>
      <c r="AQ45" s="3" t="s">
        <v>888</v>
      </c>
      <c r="AR45" s="3" t="s">
        <v>90</v>
      </c>
      <c r="AS45" s="3" t="s">
        <v>121</v>
      </c>
      <c r="AT45" s="3" t="s">
        <v>166</v>
      </c>
      <c r="AU45" s="3" t="s">
        <v>167</v>
      </c>
      <c r="AV45" s="3" t="s">
        <v>69</v>
      </c>
      <c r="AW45" s="3" t="s">
        <v>889</v>
      </c>
      <c r="AX45" s="3" t="s">
        <v>69</v>
      </c>
      <c r="AY45" s="3" t="s">
        <v>96</v>
      </c>
      <c r="AZ45" s="8" t="s">
        <v>69</v>
      </c>
      <c r="BA45" s="3" t="s">
        <v>126</v>
      </c>
      <c r="BB45" s="3" t="s">
        <v>98</v>
      </c>
      <c r="BC45" s="3" t="s">
        <v>99</v>
      </c>
      <c r="BD45" s="12" t="str">
        <f>HYPERLINK("http://www.dubail.fr","www.dubail.fr")</f>
        <v>www.dubail.fr</v>
      </c>
      <c r="BE45" s="12" t="str">
        <f>HYPERLINK("http://www.linkedin.com/company/dubailparis","http://www.linkedin.com/company/dubailparis")</f>
        <v>http://www.linkedin.com/company/dubailparis</v>
      </c>
      <c r="BF45" s="9">
        <v>23</v>
      </c>
      <c r="BG45" s="3" t="s">
        <v>890</v>
      </c>
      <c r="BH45" s="3" t="s">
        <v>69</v>
      </c>
      <c r="BI45" s="3" t="s">
        <v>69</v>
      </c>
      <c r="BJ45" s="10">
        <v>2006</v>
      </c>
      <c r="BK45" s="3" t="s">
        <v>69</v>
      </c>
      <c r="BL45" s="1">
        <v>45687</v>
      </c>
      <c r="BM45" s="3" t="s">
        <v>69</v>
      </c>
      <c r="BN45" s="3" t="s">
        <v>69</v>
      </c>
      <c r="BO45" s="12" t="str">
        <f>HYPERLINK("https://my.pitchbook.com?c=213524-11","View Company Online")</f>
        <v>View Company Online</v>
      </c>
    </row>
    <row r="46" spans="1:67" x14ac:dyDescent="0.3">
      <c r="A46" s="13" t="s">
        <v>891</v>
      </c>
      <c r="B46" s="13" t="s">
        <v>892</v>
      </c>
      <c r="C46" s="13" t="s">
        <v>69</v>
      </c>
      <c r="D46" s="21" t="s">
        <v>69</v>
      </c>
      <c r="E46" s="13" t="s">
        <v>69</v>
      </c>
      <c r="F46" s="13" t="s">
        <v>69</v>
      </c>
      <c r="G46" s="13" t="s">
        <v>69</v>
      </c>
      <c r="H46" s="13" t="s">
        <v>69</v>
      </c>
      <c r="I46" s="19">
        <v>128.37</v>
      </c>
      <c r="J46" s="20">
        <v>-1.4</v>
      </c>
      <c r="K46" s="19">
        <v>-64.64</v>
      </c>
      <c r="L46" s="19">
        <v>8.14</v>
      </c>
      <c r="M46" s="19" t="s">
        <v>69</v>
      </c>
      <c r="N46" s="19" t="s">
        <v>69</v>
      </c>
      <c r="O46" s="19">
        <v>8.3699999999999992</v>
      </c>
      <c r="P46" s="19" t="s">
        <v>69</v>
      </c>
      <c r="Q46" s="19">
        <v>4.05</v>
      </c>
      <c r="R46" s="18" t="s">
        <v>70</v>
      </c>
      <c r="S46" s="13" t="s">
        <v>893</v>
      </c>
      <c r="T46" s="13" t="s">
        <v>894</v>
      </c>
      <c r="U46" s="13" t="s">
        <v>895</v>
      </c>
      <c r="V46" s="13" t="s">
        <v>896</v>
      </c>
      <c r="W46" s="13" t="s">
        <v>897</v>
      </c>
      <c r="X46" s="13" t="s">
        <v>898</v>
      </c>
      <c r="Y46" s="13" t="s">
        <v>69</v>
      </c>
      <c r="Z46" s="13" t="s">
        <v>69</v>
      </c>
      <c r="AA46" s="13" t="s">
        <v>899</v>
      </c>
      <c r="AB46" s="13" t="s">
        <v>69</v>
      </c>
      <c r="AC46" s="18" t="s">
        <v>900</v>
      </c>
      <c r="AD46" s="13" t="s">
        <v>901</v>
      </c>
      <c r="AE46" s="18" t="s">
        <v>897</v>
      </c>
      <c r="AF46" s="18" t="s">
        <v>69</v>
      </c>
      <c r="AG46" s="13" t="s">
        <v>69</v>
      </c>
      <c r="AH46" s="13" t="s">
        <v>113</v>
      </c>
      <c r="AI46" s="13" t="s">
        <v>902</v>
      </c>
      <c r="AJ46" s="13" t="s">
        <v>69</v>
      </c>
      <c r="AK46" s="13" t="s">
        <v>69</v>
      </c>
      <c r="AL46" s="13" t="s">
        <v>903</v>
      </c>
      <c r="AM46" s="13" t="s">
        <v>904</v>
      </c>
      <c r="AN46" s="13" t="s">
        <v>905</v>
      </c>
      <c r="AO46" s="13" t="s">
        <v>69</v>
      </c>
      <c r="AP46" s="13" t="s">
        <v>891</v>
      </c>
      <c r="AQ46" s="13" t="s">
        <v>906</v>
      </c>
      <c r="AR46" s="13" t="s">
        <v>90</v>
      </c>
      <c r="AS46" s="13" t="s">
        <v>337</v>
      </c>
      <c r="AT46" s="13" t="s">
        <v>812</v>
      </c>
      <c r="AU46" s="13" t="s">
        <v>907</v>
      </c>
      <c r="AV46" s="13" t="s">
        <v>69</v>
      </c>
      <c r="AW46" s="13" t="s">
        <v>908</v>
      </c>
      <c r="AX46" s="13" t="s">
        <v>69</v>
      </c>
      <c r="AY46" s="13" t="s">
        <v>96</v>
      </c>
      <c r="AZ46" s="17" t="s">
        <v>69</v>
      </c>
      <c r="BA46" s="13" t="s">
        <v>126</v>
      </c>
      <c r="BB46" s="13" t="s">
        <v>98</v>
      </c>
      <c r="BC46" s="13" t="s">
        <v>99</v>
      </c>
      <c r="BD46" s="11" t="str">
        <f>HYPERLINK("http://www.iduna.se","www.iduna.se")</f>
        <v>www.iduna.se</v>
      </c>
      <c r="BE46" s="11" t="str">
        <f>HYPERLINK("http://www.linkedin.com/company/iduna-ab","http://www.linkedin.com/company/iduna-ab")</f>
        <v>http://www.linkedin.com/company/iduna-ab</v>
      </c>
      <c r="BF46" s="16">
        <v>623</v>
      </c>
      <c r="BG46" s="13" t="s">
        <v>909</v>
      </c>
      <c r="BH46" s="13" t="s">
        <v>69</v>
      </c>
      <c r="BI46" s="13" t="s">
        <v>69</v>
      </c>
      <c r="BJ46" s="15">
        <v>1955</v>
      </c>
      <c r="BK46" s="13" t="s">
        <v>910</v>
      </c>
      <c r="BL46" s="14">
        <v>45716</v>
      </c>
      <c r="BM46" s="13" t="s">
        <v>69</v>
      </c>
      <c r="BN46" s="13" t="s">
        <v>69</v>
      </c>
      <c r="BO46" s="11" t="str">
        <f>HYPERLINK("https://my.pitchbook.com?c=60722-38","View Company Online")</f>
        <v>View Company Online</v>
      </c>
    </row>
    <row r="47" spans="1:67" x14ac:dyDescent="0.3">
      <c r="A47" s="3" t="s">
        <v>911</v>
      </c>
      <c r="B47" s="3" t="s">
        <v>912</v>
      </c>
      <c r="C47" s="3" t="s">
        <v>69</v>
      </c>
      <c r="D47" s="5">
        <v>1</v>
      </c>
      <c r="E47" s="3" t="s">
        <v>69</v>
      </c>
      <c r="F47" s="3" t="s">
        <v>913</v>
      </c>
      <c r="G47" s="3" t="s">
        <v>914</v>
      </c>
      <c r="H47" s="3" t="s">
        <v>915</v>
      </c>
      <c r="I47" s="4">
        <v>127.36</v>
      </c>
      <c r="J47" s="7">
        <v>9.65</v>
      </c>
      <c r="K47" s="4">
        <v>18.54</v>
      </c>
      <c r="L47" s="4">
        <v>1.24</v>
      </c>
      <c r="M47" s="4" t="s">
        <v>69</v>
      </c>
      <c r="N47" s="4">
        <v>2.36</v>
      </c>
      <c r="O47" s="4">
        <v>1.82</v>
      </c>
      <c r="P47" s="4" t="s">
        <v>69</v>
      </c>
      <c r="Q47" s="4">
        <v>0</v>
      </c>
      <c r="R47" s="6" t="s">
        <v>152</v>
      </c>
      <c r="S47" s="3" t="s">
        <v>916</v>
      </c>
      <c r="T47" s="3" t="s">
        <v>917</v>
      </c>
      <c r="U47" s="3" t="s">
        <v>918</v>
      </c>
      <c r="V47" s="3" t="s">
        <v>919</v>
      </c>
      <c r="W47" s="3" t="s">
        <v>920</v>
      </c>
      <c r="X47" s="3" t="s">
        <v>921</v>
      </c>
      <c r="Y47" s="3" t="s">
        <v>922</v>
      </c>
      <c r="Z47" s="3" t="s">
        <v>69</v>
      </c>
      <c r="AA47" s="3" t="s">
        <v>923</v>
      </c>
      <c r="AB47" s="3" t="s">
        <v>110</v>
      </c>
      <c r="AC47" s="6" t="s">
        <v>924</v>
      </c>
      <c r="AD47" s="3" t="s">
        <v>112</v>
      </c>
      <c r="AE47" s="6" t="s">
        <v>920</v>
      </c>
      <c r="AF47" s="6" t="s">
        <v>69</v>
      </c>
      <c r="AG47" s="3" t="s">
        <v>925</v>
      </c>
      <c r="AH47" s="3" t="s">
        <v>113</v>
      </c>
      <c r="AI47" s="3" t="s">
        <v>114</v>
      </c>
      <c r="AJ47" s="3" t="s">
        <v>926</v>
      </c>
      <c r="AK47" s="3" t="s">
        <v>69</v>
      </c>
      <c r="AL47" s="3" t="s">
        <v>927</v>
      </c>
      <c r="AM47" s="3" t="s">
        <v>928</v>
      </c>
      <c r="AN47" s="3" t="s">
        <v>118</v>
      </c>
      <c r="AO47" s="3" t="s">
        <v>69</v>
      </c>
      <c r="AP47" s="3" t="s">
        <v>911</v>
      </c>
      <c r="AQ47" s="3" t="s">
        <v>929</v>
      </c>
      <c r="AR47" s="3" t="s">
        <v>90</v>
      </c>
      <c r="AS47" s="3" t="s">
        <v>121</v>
      </c>
      <c r="AT47" s="3" t="s">
        <v>122</v>
      </c>
      <c r="AU47" s="3" t="s">
        <v>930</v>
      </c>
      <c r="AV47" s="3" t="s">
        <v>201</v>
      </c>
      <c r="AW47" s="3" t="s">
        <v>931</v>
      </c>
      <c r="AX47" s="3" t="s">
        <v>69</v>
      </c>
      <c r="AY47" s="3" t="s">
        <v>96</v>
      </c>
      <c r="AZ47" s="8" t="s">
        <v>69</v>
      </c>
      <c r="BA47" s="3" t="s">
        <v>126</v>
      </c>
      <c r="BB47" s="3" t="s">
        <v>98</v>
      </c>
      <c r="BC47" s="3" t="s">
        <v>99</v>
      </c>
      <c r="BD47" s="12" t="str">
        <f>HYPERLINK("http://www.fashions-uk.com","www.fashions-uk.com")</f>
        <v>www.fashions-uk.com</v>
      </c>
      <c r="BE47" s="12" t="str">
        <f>HYPERLINK("http://www.linkedin.com/company/fashion-uk","http://www.linkedin.com/company/fashion-uk")</f>
        <v>http://www.linkedin.com/company/fashion-uk</v>
      </c>
      <c r="BF47" s="9">
        <v>161</v>
      </c>
      <c r="BG47" s="3" t="s">
        <v>932</v>
      </c>
      <c r="BH47" s="3" t="s">
        <v>69</v>
      </c>
      <c r="BI47" s="3" t="s">
        <v>69</v>
      </c>
      <c r="BJ47" s="10">
        <v>1999</v>
      </c>
      <c r="BK47" s="3" t="s">
        <v>933</v>
      </c>
      <c r="BL47" s="1">
        <v>45730</v>
      </c>
      <c r="BM47" s="3" t="s">
        <v>69</v>
      </c>
      <c r="BN47" s="3" t="s">
        <v>69</v>
      </c>
      <c r="BO47" s="12" t="str">
        <f>HYPERLINK("https://my.pitchbook.com?c=214515-46","View Company Online")</f>
        <v>View Company Online</v>
      </c>
    </row>
    <row r="48" spans="1:67" x14ac:dyDescent="0.3">
      <c r="A48" s="13" t="s">
        <v>934</v>
      </c>
      <c r="B48" s="13" t="s">
        <v>935</v>
      </c>
      <c r="C48" s="13" t="s">
        <v>69</v>
      </c>
      <c r="D48" s="21" t="s">
        <v>69</v>
      </c>
      <c r="E48" s="13" t="s">
        <v>69</v>
      </c>
      <c r="F48" s="13" t="s">
        <v>69</v>
      </c>
      <c r="G48" s="13" t="s">
        <v>69</v>
      </c>
      <c r="H48" s="13" t="s">
        <v>69</v>
      </c>
      <c r="I48" s="19">
        <v>115</v>
      </c>
      <c r="J48" s="20" t="s">
        <v>69</v>
      </c>
      <c r="K48" s="19" t="s">
        <v>69</v>
      </c>
      <c r="L48" s="19" t="s">
        <v>69</v>
      </c>
      <c r="M48" s="19" t="s">
        <v>69</v>
      </c>
      <c r="N48" s="19" t="s">
        <v>69</v>
      </c>
      <c r="O48" s="19" t="s">
        <v>69</v>
      </c>
      <c r="P48" s="19" t="s">
        <v>69</v>
      </c>
      <c r="Q48" s="19" t="s">
        <v>69</v>
      </c>
      <c r="R48" s="18" t="s">
        <v>321</v>
      </c>
      <c r="S48" s="13" t="s">
        <v>69</v>
      </c>
      <c r="T48" s="13" t="s">
        <v>69</v>
      </c>
      <c r="U48" s="13" t="s">
        <v>69</v>
      </c>
      <c r="V48" s="13" t="s">
        <v>69</v>
      </c>
      <c r="W48" s="13" t="s">
        <v>69</v>
      </c>
      <c r="X48" s="13" t="s">
        <v>936</v>
      </c>
      <c r="Y48" s="13" t="s">
        <v>69</v>
      </c>
      <c r="Z48" s="13" t="s">
        <v>69</v>
      </c>
      <c r="AA48" s="13" t="s">
        <v>937</v>
      </c>
      <c r="AB48" s="13" t="s">
        <v>938</v>
      </c>
      <c r="AC48" s="18" t="s">
        <v>939</v>
      </c>
      <c r="AD48" s="13" t="s">
        <v>177</v>
      </c>
      <c r="AE48" s="18" t="s">
        <v>69</v>
      </c>
      <c r="AF48" s="18" t="s">
        <v>69</v>
      </c>
      <c r="AG48" s="13" t="s">
        <v>69</v>
      </c>
      <c r="AH48" s="13" t="s">
        <v>178</v>
      </c>
      <c r="AI48" s="13" t="s">
        <v>179</v>
      </c>
      <c r="AJ48" s="13" t="s">
        <v>69</v>
      </c>
      <c r="AK48" s="13" t="s">
        <v>69</v>
      </c>
      <c r="AL48" s="13" t="s">
        <v>69</v>
      </c>
      <c r="AM48" s="13" t="s">
        <v>69</v>
      </c>
      <c r="AN48" s="13" t="s">
        <v>69</v>
      </c>
      <c r="AO48" s="13" t="s">
        <v>69</v>
      </c>
      <c r="AP48" s="13" t="s">
        <v>934</v>
      </c>
      <c r="AQ48" s="13" t="s">
        <v>940</v>
      </c>
      <c r="AR48" s="13" t="s">
        <v>90</v>
      </c>
      <c r="AS48" s="13" t="s">
        <v>337</v>
      </c>
      <c r="AT48" s="13" t="s">
        <v>654</v>
      </c>
      <c r="AU48" s="13" t="s">
        <v>941</v>
      </c>
      <c r="AV48" s="13" t="s">
        <v>69</v>
      </c>
      <c r="AW48" s="13" t="s">
        <v>942</v>
      </c>
      <c r="AX48" s="13" t="s">
        <v>69</v>
      </c>
      <c r="AY48" s="13" t="s">
        <v>96</v>
      </c>
      <c r="AZ48" s="17" t="s">
        <v>69</v>
      </c>
      <c r="BA48" s="13" t="s">
        <v>126</v>
      </c>
      <c r="BB48" s="13" t="s">
        <v>98</v>
      </c>
      <c r="BC48" s="13" t="s">
        <v>99</v>
      </c>
      <c r="BD48" s="11" t="str">
        <f>HYPERLINK("http://invictastores.com","invictastores.com")</f>
        <v>invictastores.com</v>
      </c>
      <c r="BE48" s="13" t="s">
        <v>69</v>
      </c>
      <c r="BF48" s="16" t="s">
        <v>69</v>
      </c>
      <c r="BG48" s="13" t="s">
        <v>69</v>
      </c>
      <c r="BH48" s="13" t="s">
        <v>69</v>
      </c>
      <c r="BI48" s="13" t="s">
        <v>69</v>
      </c>
      <c r="BJ48" s="15">
        <v>1837</v>
      </c>
      <c r="BK48" s="13" t="s">
        <v>69</v>
      </c>
      <c r="BL48" s="14">
        <v>45136</v>
      </c>
      <c r="BM48" s="13" t="s">
        <v>69</v>
      </c>
      <c r="BN48" s="13" t="s">
        <v>69</v>
      </c>
      <c r="BO48" s="11" t="str">
        <f>HYPERLINK("https://my.pitchbook.com?c=322999-66","View Company Online")</f>
        <v>View Company Online</v>
      </c>
    </row>
    <row r="49" spans="1:67" x14ac:dyDescent="0.3">
      <c r="A49" s="3" t="s">
        <v>943</v>
      </c>
      <c r="B49" s="3" t="s">
        <v>944</v>
      </c>
      <c r="C49" s="3" t="s">
        <v>69</v>
      </c>
      <c r="D49" s="5" t="s">
        <v>69</v>
      </c>
      <c r="E49" s="3" t="s">
        <v>69</v>
      </c>
      <c r="F49" s="3" t="s">
        <v>69</v>
      </c>
      <c r="G49" s="3" t="s">
        <v>69</v>
      </c>
      <c r="H49" s="3" t="s">
        <v>69</v>
      </c>
      <c r="I49" s="4">
        <v>110.1</v>
      </c>
      <c r="J49" s="7">
        <v>7.45</v>
      </c>
      <c r="K49" s="4">
        <v>36.49</v>
      </c>
      <c r="L49" s="4" t="s">
        <v>69</v>
      </c>
      <c r="M49" s="4" t="s">
        <v>69</v>
      </c>
      <c r="N49" s="4" t="s">
        <v>69</v>
      </c>
      <c r="O49" s="4" t="s">
        <v>69</v>
      </c>
      <c r="P49" s="4" t="s">
        <v>69</v>
      </c>
      <c r="Q49" s="4" t="s">
        <v>69</v>
      </c>
      <c r="R49" s="6" t="s">
        <v>70</v>
      </c>
      <c r="S49" s="3" t="s">
        <v>945</v>
      </c>
      <c r="T49" s="3" t="s">
        <v>946</v>
      </c>
      <c r="U49" s="3" t="s">
        <v>73</v>
      </c>
      <c r="V49" s="3" t="s">
        <v>947</v>
      </c>
      <c r="W49" s="3" t="s">
        <v>69</v>
      </c>
      <c r="X49" s="3" t="s">
        <v>327</v>
      </c>
      <c r="Y49" s="3" t="s">
        <v>948</v>
      </c>
      <c r="Z49" s="3" t="s">
        <v>69</v>
      </c>
      <c r="AA49" s="3" t="s">
        <v>330</v>
      </c>
      <c r="AB49" s="3" t="s">
        <v>69</v>
      </c>
      <c r="AC49" s="6" t="s">
        <v>949</v>
      </c>
      <c r="AD49" s="3" t="s">
        <v>331</v>
      </c>
      <c r="AE49" s="6" t="s">
        <v>69</v>
      </c>
      <c r="AF49" s="6" t="s">
        <v>69</v>
      </c>
      <c r="AG49" s="3" t="s">
        <v>69</v>
      </c>
      <c r="AH49" s="3" t="s">
        <v>113</v>
      </c>
      <c r="AI49" s="3" t="s">
        <v>333</v>
      </c>
      <c r="AJ49" s="3" t="s">
        <v>69</v>
      </c>
      <c r="AK49" s="3" t="s">
        <v>69</v>
      </c>
      <c r="AL49" s="3" t="s">
        <v>950</v>
      </c>
      <c r="AM49" s="3" t="s">
        <v>69</v>
      </c>
      <c r="AN49" s="3" t="s">
        <v>69</v>
      </c>
      <c r="AO49" s="3" t="s">
        <v>951</v>
      </c>
      <c r="AP49" s="3" t="s">
        <v>943</v>
      </c>
      <c r="AQ49" s="3" t="s">
        <v>952</v>
      </c>
      <c r="AR49" s="3" t="s">
        <v>372</v>
      </c>
      <c r="AS49" s="3" t="s">
        <v>414</v>
      </c>
      <c r="AT49" s="3" t="s">
        <v>953</v>
      </c>
      <c r="AU49" s="3" t="s">
        <v>954</v>
      </c>
      <c r="AV49" s="3" t="s">
        <v>955</v>
      </c>
      <c r="AW49" s="3" t="s">
        <v>956</v>
      </c>
      <c r="AX49" s="3" t="s">
        <v>69</v>
      </c>
      <c r="AY49" s="3" t="s">
        <v>96</v>
      </c>
      <c r="AZ49" s="8" t="s">
        <v>69</v>
      </c>
      <c r="BA49" s="3" t="s">
        <v>126</v>
      </c>
      <c r="BB49" s="3" t="s">
        <v>98</v>
      </c>
      <c r="BC49" s="3" t="s">
        <v>99</v>
      </c>
      <c r="BD49" s="12" t="str">
        <f>HYPERLINK("http://www.costlocker.com","www.costlocker.com")</f>
        <v>www.costlocker.com</v>
      </c>
      <c r="BE49" s="12" t="str">
        <f>HYPERLINK("http://www.linkedin.com/company/costlocker","http://www.linkedin.com/company/costlocker")</f>
        <v>http://www.linkedin.com/company/costlocker</v>
      </c>
      <c r="BF49" s="9">
        <v>3</v>
      </c>
      <c r="BG49" s="3" t="s">
        <v>957</v>
      </c>
      <c r="BH49" s="3" t="s">
        <v>69</v>
      </c>
      <c r="BI49" s="3" t="s">
        <v>69</v>
      </c>
      <c r="BJ49" s="10">
        <v>2012</v>
      </c>
      <c r="BK49" s="3" t="s">
        <v>69</v>
      </c>
      <c r="BL49" s="1">
        <v>45239</v>
      </c>
      <c r="BM49" s="3" t="s">
        <v>69</v>
      </c>
      <c r="BN49" s="3" t="s">
        <v>69</v>
      </c>
      <c r="BO49" s="12" t="str">
        <f>HYPERLINK("https://my.pitchbook.com?c=539194-96","View Company Online")</f>
        <v>View Company Online</v>
      </c>
    </row>
    <row r="50" spans="1:67" x14ac:dyDescent="0.3">
      <c r="A50" s="13" t="s">
        <v>958</v>
      </c>
      <c r="B50" s="13" t="s">
        <v>959</v>
      </c>
      <c r="C50" s="13" t="s">
        <v>69</v>
      </c>
      <c r="D50" s="21" t="s">
        <v>69</v>
      </c>
      <c r="E50" s="13" t="s">
        <v>69</v>
      </c>
      <c r="F50" s="13" t="s">
        <v>69</v>
      </c>
      <c r="G50" s="13" t="s">
        <v>69</v>
      </c>
      <c r="H50" s="13" t="s">
        <v>69</v>
      </c>
      <c r="I50" s="19">
        <v>105.77</v>
      </c>
      <c r="J50" s="20" t="s">
        <v>69</v>
      </c>
      <c r="K50" s="19" t="s">
        <v>69</v>
      </c>
      <c r="L50" s="19">
        <v>128.97999999999999</v>
      </c>
      <c r="M50" s="19" t="s">
        <v>69</v>
      </c>
      <c r="N50" s="19">
        <v>68.739999999999995</v>
      </c>
      <c r="O50" s="19">
        <v>62.8</v>
      </c>
      <c r="P50" s="19" t="s">
        <v>69</v>
      </c>
      <c r="Q50" s="19">
        <v>0</v>
      </c>
      <c r="R50" s="18" t="s">
        <v>960</v>
      </c>
      <c r="S50" s="13" t="s">
        <v>961</v>
      </c>
      <c r="T50" s="13" t="s">
        <v>962</v>
      </c>
      <c r="U50" s="13" t="s">
        <v>963</v>
      </c>
      <c r="V50" s="13" t="s">
        <v>964</v>
      </c>
      <c r="W50" s="13" t="s">
        <v>965</v>
      </c>
      <c r="X50" s="13" t="s">
        <v>135</v>
      </c>
      <c r="Y50" s="13" t="s">
        <v>966</v>
      </c>
      <c r="Z50" s="13" t="s">
        <v>69</v>
      </c>
      <c r="AA50" s="13" t="s">
        <v>137</v>
      </c>
      <c r="AB50" s="13" t="s">
        <v>69</v>
      </c>
      <c r="AC50" s="18" t="s">
        <v>967</v>
      </c>
      <c r="AD50" s="13" t="s">
        <v>139</v>
      </c>
      <c r="AE50" s="18" t="s">
        <v>965</v>
      </c>
      <c r="AF50" s="18" t="s">
        <v>69</v>
      </c>
      <c r="AG50" s="13" t="s">
        <v>968</v>
      </c>
      <c r="AH50" s="13" t="s">
        <v>113</v>
      </c>
      <c r="AI50" s="13" t="s">
        <v>114</v>
      </c>
      <c r="AJ50" s="13" t="s">
        <v>969</v>
      </c>
      <c r="AK50" s="13" t="s">
        <v>970</v>
      </c>
      <c r="AL50" s="13" t="s">
        <v>971</v>
      </c>
      <c r="AM50" s="13" t="s">
        <v>972</v>
      </c>
      <c r="AN50" s="13" t="s">
        <v>142</v>
      </c>
      <c r="AO50" s="13" t="s">
        <v>69</v>
      </c>
      <c r="AP50" s="13" t="s">
        <v>958</v>
      </c>
      <c r="AQ50" s="13" t="s">
        <v>973</v>
      </c>
      <c r="AR50" s="13" t="s">
        <v>90</v>
      </c>
      <c r="AS50" s="13" t="s">
        <v>337</v>
      </c>
      <c r="AT50" s="13" t="s">
        <v>974</v>
      </c>
      <c r="AU50" s="13" t="s">
        <v>975</v>
      </c>
      <c r="AV50" s="13" t="s">
        <v>69</v>
      </c>
      <c r="AW50" s="13" t="s">
        <v>976</v>
      </c>
      <c r="AX50" s="13" t="s">
        <v>69</v>
      </c>
      <c r="AY50" s="13" t="s">
        <v>96</v>
      </c>
      <c r="AZ50" s="17" t="s">
        <v>69</v>
      </c>
      <c r="BA50" s="13" t="s">
        <v>126</v>
      </c>
      <c r="BB50" s="13" t="s">
        <v>98</v>
      </c>
      <c r="BC50" s="13" t="s">
        <v>977</v>
      </c>
      <c r="BD50" s="11" t="str">
        <f>HYPERLINK("http://www.groupegalerieslafayette.com","www.groupegalerieslafayette.com")</f>
        <v>www.groupegalerieslafayette.com</v>
      </c>
      <c r="BE50" s="11" t="str">
        <f>HYPERLINK("http://www.linkedin.com/company/groupe-galeries-lafayette","http://www.linkedin.com/company/groupe-galeries-lafayette")</f>
        <v>http://www.linkedin.com/company/groupe-galeries-lafayette</v>
      </c>
      <c r="BF50" s="16">
        <v>14000</v>
      </c>
      <c r="BG50" s="13" t="s">
        <v>978</v>
      </c>
      <c r="BH50" s="13" t="s">
        <v>69</v>
      </c>
      <c r="BI50" s="13" t="s">
        <v>69</v>
      </c>
      <c r="BJ50" s="15">
        <v>1894</v>
      </c>
      <c r="BK50" s="13" t="s">
        <v>979</v>
      </c>
      <c r="BL50" s="14">
        <v>45667</v>
      </c>
      <c r="BM50" s="13" t="s">
        <v>69</v>
      </c>
      <c r="BN50" s="13" t="s">
        <v>69</v>
      </c>
      <c r="BO50" s="11" t="str">
        <f>HYPERLINK("https://my.pitchbook.com?c=54354-79","View Company Online")</f>
        <v>View Company Online</v>
      </c>
    </row>
    <row r="51" spans="1:67" x14ac:dyDescent="0.3">
      <c r="A51" s="3" t="s">
        <v>980</v>
      </c>
      <c r="B51" s="3" t="s">
        <v>981</v>
      </c>
      <c r="C51" s="3" t="s">
        <v>69</v>
      </c>
      <c r="D51" s="5" t="s">
        <v>69</v>
      </c>
      <c r="E51" s="3" t="s">
        <v>69</v>
      </c>
      <c r="F51" s="3" t="s">
        <v>69</v>
      </c>
      <c r="G51" s="3" t="s">
        <v>69</v>
      </c>
      <c r="H51" s="3" t="s">
        <v>69</v>
      </c>
      <c r="I51" s="4">
        <v>104.37</v>
      </c>
      <c r="J51" s="7">
        <v>4.88</v>
      </c>
      <c r="K51" s="4">
        <v>39.67</v>
      </c>
      <c r="L51" s="4">
        <v>8.98</v>
      </c>
      <c r="M51" s="4" t="s">
        <v>69</v>
      </c>
      <c r="N51" s="4">
        <v>10.66</v>
      </c>
      <c r="O51" s="4">
        <v>9.5</v>
      </c>
      <c r="P51" s="4" t="s">
        <v>69</v>
      </c>
      <c r="Q51" s="4">
        <v>0</v>
      </c>
      <c r="R51" s="6" t="s">
        <v>152</v>
      </c>
      <c r="S51" s="3" t="s">
        <v>982</v>
      </c>
      <c r="T51" s="3" t="s">
        <v>983</v>
      </c>
      <c r="U51" s="3" t="s">
        <v>298</v>
      </c>
      <c r="V51" s="3" t="s">
        <v>69</v>
      </c>
      <c r="W51" s="3" t="s">
        <v>69</v>
      </c>
      <c r="X51" s="3" t="s">
        <v>984</v>
      </c>
      <c r="Y51" s="3" t="s">
        <v>985</v>
      </c>
      <c r="Z51" s="3" t="s">
        <v>69</v>
      </c>
      <c r="AA51" s="3" t="s">
        <v>986</v>
      </c>
      <c r="AB51" s="3" t="s">
        <v>110</v>
      </c>
      <c r="AC51" s="6" t="s">
        <v>987</v>
      </c>
      <c r="AD51" s="3" t="s">
        <v>112</v>
      </c>
      <c r="AE51" s="6" t="s">
        <v>69</v>
      </c>
      <c r="AF51" s="6" t="s">
        <v>69</v>
      </c>
      <c r="AG51" s="3" t="s">
        <v>69</v>
      </c>
      <c r="AH51" s="3" t="s">
        <v>113</v>
      </c>
      <c r="AI51" s="3" t="s">
        <v>114</v>
      </c>
      <c r="AJ51" s="3" t="s">
        <v>69</v>
      </c>
      <c r="AK51" s="3" t="s">
        <v>69</v>
      </c>
      <c r="AL51" s="3" t="s">
        <v>988</v>
      </c>
      <c r="AM51" s="3" t="s">
        <v>989</v>
      </c>
      <c r="AN51" s="3" t="s">
        <v>118</v>
      </c>
      <c r="AO51" s="3" t="s">
        <v>990</v>
      </c>
      <c r="AP51" s="3" t="s">
        <v>980</v>
      </c>
      <c r="AQ51" s="3" t="s">
        <v>991</v>
      </c>
      <c r="AR51" s="3" t="s">
        <v>90</v>
      </c>
      <c r="AS51" s="3" t="s">
        <v>337</v>
      </c>
      <c r="AT51" s="3" t="s">
        <v>654</v>
      </c>
      <c r="AU51" s="3" t="s">
        <v>941</v>
      </c>
      <c r="AV51" s="3" t="s">
        <v>69</v>
      </c>
      <c r="AW51" s="3" t="s">
        <v>992</v>
      </c>
      <c r="AX51" s="3" t="s">
        <v>69</v>
      </c>
      <c r="AY51" s="3" t="s">
        <v>96</v>
      </c>
      <c r="AZ51" s="8" t="s">
        <v>69</v>
      </c>
      <c r="BA51" s="3" t="s">
        <v>69</v>
      </c>
      <c r="BB51" s="3" t="s">
        <v>98</v>
      </c>
      <c r="BC51" s="3" t="s">
        <v>99</v>
      </c>
      <c r="BD51" s="12" t="str">
        <f>HYPERLINK("http://fhinds.co.uk","fhinds.co.uk")</f>
        <v>fhinds.co.uk</v>
      </c>
      <c r="BE51" s="3" t="s">
        <v>69</v>
      </c>
      <c r="BF51" s="9">
        <v>679</v>
      </c>
      <c r="BG51" s="3" t="s">
        <v>993</v>
      </c>
      <c r="BH51" s="3" t="s">
        <v>69</v>
      </c>
      <c r="BI51" s="3" t="s">
        <v>69</v>
      </c>
      <c r="BJ51" s="10">
        <v>1918</v>
      </c>
      <c r="BK51" s="3" t="s">
        <v>69</v>
      </c>
      <c r="BL51" s="1">
        <v>45252</v>
      </c>
      <c r="BM51" s="3" t="s">
        <v>69</v>
      </c>
      <c r="BN51" s="3" t="s">
        <v>69</v>
      </c>
      <c r="BO51" s="12" t="str">
        <f>HYPERLINK("https://my.pitchbook.com?c=210359-71","View Company Online")</f>
        <v>View Company Online</v>
      </c>
    </row>
    <row r="52" spans="1:67" x14ac:dyDescent="0.3">
      <c r="A52" s="13" t="s">
        <v>994</v>
      </c>
      <c r="B52" s="13" t="s">
        <v>995</v>
      </c>
      <c r="C52" s="13" t="s">
        <v>69</v>
      </c>
      <c r="D52" s="21" t="s">
        <v>69</v>
      </c>
      <c r="E52" s="13" t="s">
        <v>69</v>
      </c>
      <c r="F52" s="13" t="s">
        <v>69</v>
      </c>
      <c r="G52" s="13" t="s">
        <v>69</v>
      </c>
      <c r="H52" s="13" t="s">
        <v>996</v>
      </c>
      <c r="I52" s="19">
        <v>104</v>
      </c>
      <c r="J52" s="20" t="s">
        <v>69</v>
      </c>
      <c r="K52" s="19" t="s">
        <v>69</v>
      </c>
      <c r="L52" s="19" t="s">
        <v>69</v>
      </c>
      <c r="M52" s="19" t="s">
        <v>69</v>
      </c>
      <c r="N52" s="19" t="s">
        <v>69</v>
      </c>
      <c r="O52" s="19" t="s">
        <v>69</v>
      </c>
      <c r="P52" s="19" t="s">
        <v>69</v>
      </c>
      <c r="Q52" s="19" t="s">
        <v>69</v>
      </c>
      <c r="R52" s="18" t="s">
        <v>997</v>
      </c>
      <c r="S52" s="13" t="s">
        <v>69</v>
      </c>
      <c r="T52" s="13" t="s">
        <v>69</v>
      </c>
      <c r="U52" s="13" t="s">
        <v>69</v>
      </c>
      <c r="V52" s="13" t="s">
        <v>69</v>
      </c>
      <c r="W52" s="13" t="s">
        <v>69</v>
      </c>
      <c r="X52" s="13" t="s">
        <v>665</v>
      </c>
      <c r="Y52" s="13" t="s">
        <v>998</v>
      </c>
      <c r="Z52" s="13" t="s">
        <v>69</v>
      </c>
      <c r="AA52" s="13" t="s">
        <v>409</v>
      </c>
      <c r="AB52" s="13" t="s">
        <v>409</v>
      </c>
      <c r="AC52" s="18" t="s">
        <v>999</v>
      </c>
      <c r="AD52" s="13" t="s">
        <v>177</v>
      </c>
      <c r="AE52" s="18" t="s">
        <v>69</v>
      </c>
      <c r="AF52" s="18" t="s">
        <v>69</v>
      </c>
      <c r="AG52" s="13" t="s">
        <v>69</v>
      </c>
      <c r="AH52" s="13" t="s">
        <v>178</v>
      </c>
      <c r="AI52" s="13" t="s">
        <v>179</v>
      </c>
      <c r="AJ52" s="13" t="s">
        <v>69</v>
      </c>
      <c r="AK52" s="13" t="s">
        <v>69</v>
      </c>
      <c r="AL52" s="13" t="s">
        <v>1000</v>
      </c>
      <c r="AM52" s="13" t="s">
        <v>69</v>
      </c>
      <c r="AN52" s="13" t="s">
        <v>69</v>
      </c>
      <c r="AO52" s="13" t="s">
        <v>1001</v>
      </c>
      <c r="AP52" s="13" t="s">
        <v>994</v>
      </c>
      <c r="AQ52" s="13" t="s">
        <v>1002</v>
      </c>
      <c r="AR52" s="13" t="s">
        <v>90</v>
      </c>
      <c r="AS52" s="13" t="s">
        <v>121</v>
      </c>
      <c r="AT52" s="13" t="s">
        <v>122</v>
      </c>
      <c r="AU52" s="13" t="s">
        <v>1003</v>
      </c>
      <c r="AV52" s="13" t="s">
        <v>201</v>
      </c>
      <c r="AW52" s="13" t="s">
        <v>1004</v>
      </c>
      <c r="AX52" s="13" t="s">
        <v>69</v>
      </c>
      <c r="AY52" s="13" t="s">
        <v>96</v>
      </c>
      <c r="AZ52" s="17" t="s">
        <v>69</v>
      </c>
      <c r="BA52" s="13" t="s">
        <v>1005</v>
      </c>
      <c r="BB52" s="13" t="s">
        <v>98</v>
      </c>
      <c r="BC52" s="13" t="s">
        <v>99</v>
      </c>
      <c r="BD52" s="11" t="str">
        <f>HYPERLINK("http://www.shop.diesel.com","www.shop.diesel.com")</f>
        <v>www.shop.diesel.com</v>
      </c>
      <c r="BE52" s="13" t="s">
        <v>69</v>
      </c>
      <c r="BF52" s="16">
        <v>5000</v>
      </c>
      <c r="BG52" s="13" t="s">
        <v>1006</v>
      </c>
      <c r="BH52" s="13" t="s">
        <v>69</v>
      </c>
      <c r="BI52" s="13" t="s">
        <v>69</v>
      </c>
      <c r="BJ52" s="15">
        <v>1995</v>
      </c>
      <c r="BK52" s="13" t="s">
        <v>69</v>
      </c>
      <c r="BL52" s="14">
        <v>45680</v>
      </c>
      <c r="BM52" s="13" t="s">
        <v>69</v>
      </c>
      <c r="BN52" s="13" t="s">
        <v>69</v>
      </c>
      <c r="BO52" s="11" t="str">
        <f>HYPERLINK("https://my.pitchbook.com?c=343758-25","View Company Online")</f>
        <v>View Company Online</v>
      </c>
    </row>
    <row r="53" spans="1:67" x14ac:dyDescent="0.3">
      <c r="A53" s="3" t="s">
        <v>1007</v>
      </c>
      <c r="B53" s="3" t="s">
        <v>1008</v>
      </c>
      <c r="C53" s="3" t="s">
        <v>69</v>
      </c>
      <c r="D53" s="5" t="s">
        <v>69</v>
      </c>
      <c r="E53" s="3" t="s">
        <v>69</v>
      </c>
      <c r="F53" s="3" t="s">
        <v>69</v>
      </c>
      <c r="G53" s="3" t="s">
        <v>69</v>
      </c>
      <c r="H53" s="3" t="s">
        <v>69</v>
      </c>
      <c r="I53" s="4">
        <v>103.58</v>
      </c>
      <c r="J53" s="7">
        <v>3.46</v>
      </c>
      <c r="K53" s="4" t="s">
        <v>69</v>
      </c>
      <c r="L53" s="4">
        <v>6.45</v>
      </c>
      <c r="M53" s="4" t="s">
        <v>69</v>
      </c>
      <c r="N53" s="4">
        <v>11.48</v>
      </c>
      <c r="O53" s="4">
        <v>8.67</v>
      </c>
      <c r="P53" s="4" t="s">
        <v>69</v>
      </c>
      <c r="Q53" s="4">
        <v>0</v>
      </c>
      <c r="R53" s="6" t="s">
        <v>70</v>
      </c>
      <c r="S53" s="3" t="s">
        <v>1009</v>
      </c>
      <c r="T53" s="3" t="s">
        <v>1010</v>
      </c>
      <c r="U53" s="3" t="s">
        <v>1011</v>
      </c>
      <c r="V53" s="3" t="s">
        <v>69</v>
      </c>
      <c r="W53" s="3" t="s">
        <v>1012</v>
      </c>
      <c r="X53" s="3" t="s">
        <v>1013</v>
      </c>
      <c r="Y53" s="3" t="s">
        <v>1014</v>
      </c>
      <c r="Z53" s="3" t="s">
        <v>69</v>
      </c>
      <c r="AA53" s="3" t="s">
        <v>1015</v>
      </c>
      <c r="AB53" s="3" t="s">
        <v>69</v>
      </c>
      <c r="AC53" s="6" t="s">
        <v>1016</v>
      </c>
      <c r="AD53" s="3" t="s">
        <v>806</v>
      </c>
      <c r="AE53" s="6" t="s">
        <v>1012</v>
      </c>
      <c r="AF53" s="6" t="s">
        <v>69</v>
      </c>
      <c r="AG53" s="3" t="s">
        <v>1017</v>
      </c>
      <c r="AH53" s="3" t="s">
        <v>113</v>
      </c>
      <c r="AI53" s="3" t="s">
        <v>307</v>
      </c>
      <c r="AJ53" s="3" t="s">
        <v>69</v>
      </c>
      <c r="AK53" s="3" t="s">
        <v>1018</v>
      </c>
      <c r="AL53" s="3" t="s">
        <v>1019</v>
      </c>
      <c r="AM53" s="3" t="s">
        <v>1020</v>
      </c>
      <c r="AN53" s="3" t="s">
        <v>810</v>
      </c>
      <c r="AO53" s="3" t="s">
        <v>69</v>
      </c>
      <c r="AP53" s="3" t="s">
        <v>1007</v>
      </c>
      <c r="AQ53" s="3" t="s">
        <v>1021</v>
      </c>
      <c r="AR53" s="3" t="s">
        <v>90</v>
      </c>
      <c r="AS53" s="3" t="s">
        <v>121</v>
      </c>
      <c r="AT53" s="3" t="s">
        <v>166</v>
      </c>
      <c r="AU53" s="3" t="s">
        <v>244</v>
      </c>
      <c r="AV53" s="3" t="s">
        <v>201</v>
      </c>
      <c r="AW53" s="3" t="s">
        <v>1022</v>
      </c>
      <c r="AX53" s="3" t="s">
        <v>69</v>
      </c>
      <c r="AY53" s="3" t="s">
        <v>96</v>
      </c>
      <c r="AZ53" s="8" t="s">
        <v>69</v>
      </c>
      <c r="BA53" s="3" t="s">
        <v>126</v>
      </c>
      <c r="BB53" s="3" t="s">
        <v>98</v>
      </c>
      <c r="BC53" s="3" t="s">
        <v>99</v>
      </c>
      <c r="BD53" s="12" t="str">
        <f>HYPERLINK("http://www.pisa1940.com","www.pisa1940.com")</f>
        <v>www.pisa1940.com</v>
      </c>
      <c r="BE53" s="12" t="str">
        <f>HYPERLINK("http://www.linkedin.com/company/pisa-orologeria","http://www.linkedin.com/company/pisa-orologeria")</f>
        <v>http://www.linkedin.com/company/pisa-orologeria</v>
      </c>
      <c r="BF53" s="9">
        <v>99</v>
      </c>
      <c r="BG53" s="3" t="s">
        <v>1023</v>
      </c>
      <c r="BH53" s="3" t="s">
        <v>69</v>
      </c>
      <c r="BI53" s="3" t="s">
        <v>69</v>
      </c>
      <c r="BJ53" s="10">
        <v>1940</v>
      </c>
      <c r="BK53" s="3" t="s">
        <v>69</v>
      </c>
      <c r="BL53" s="1">
        <v>45687</v>
      </c>
      <c r="BM53" s="3" t="s">
        <v>69</v>
      </c>
      <c r="BN53" s="3" t="s">
        <v>69</v>
      </c>
      <c r="BO53" s="12" t="str">
        <f>HYPERLINK("https://my.pitchbook.com?c=419869-72","View Company Online")</f>
        <v>View Company Online</v>
      </c>
    </row>
    <row r="54" spans="1:67" x14ac:dyDescent="0.3">
      <c r="A54" s="13" t="s">
        <v>1024</v>
      </c>
      <c r="B54" s="13" t="s">
        <v>1025</v>
      </c>
      <c r="C54" s="13" t="s">
        <v>69</v>
      </c>
      <c r="D54" s="21" t="s">
        <v>69</v>
      </c>
      <c r="E54" s="13" t="s">
        <v>69</v>
      </c>
      <c r="F54" s="13" t="s">
        <v>69</v>
      </c>
      <c r="G54" s="13" t="s">
        <v>69</v>
      </c>
      <c r="H54" s="13" t="s">
        <v>69</v>
      </c>
      <c r="I54" s="19">
        <v>100</v>
      </c>
      <c r="J54" s="20" t="s">
        <v>69</v>
      </c>
      <c r="K54" s="19" t="s">
        <v>69</v>
      </c>
      <c r="L54" s="19" t="s">
        <v>69</v>
      </c>
      <c r="M54" s="19" t="s">
        <v>69</v>
      </c>
      <c r="N54" s="19" t="s">
        <v>69</v>
      </c>
      <c r="O54" s="19" t="s">
        <v>69</v>
      </c>
      <c r="P54" s="19" t="s">
        <v>69</v>
      </c>
      <c r="Q54" s="19" t="s">
        <v>69</v>
      </c>
      <c r="R54" s="18" t="s">
        <v>70</v>
      </c>
      <c r="S54" s="13" t="s">
        <v>1026</v>
      </c>
      <c r="T54" s="13" t="s">
        <v>1027</v>
      </c>
      <c r="U54" s="13" t="s">
        <v>1028</v>
      </c>
      <c r="V54" s="13" t="s">
        <v>1029</v>
      </c>
      <c r="W54" s="13" t="s">
        <v>69</v>
      </c>
      <c r="X54" s="13" t="s">
        <v>665</v>
      </c>
      <c r="Y54" s="13" t="s">
        <v>1030</v>
      </c>
      <c r="Z54" s="13" t="s">
        <v>1031</v>
      </c>
      <c r="AA54" s="13" t="s">
        <v>409</v>
      </c>
      <c r="AB54" s="13" t="s">
        <v>409</v>
      </c>
      <c r="AC54" s="18" t="s">
        <v>1032</v>
      </c>
      <c r="AD54" s="13" t="s">
        <v>177</v>
      </c>
      <c r="AE54" s="18" t="s">
        <v>69</v>
      </c>
      <c r="AF54" s="18" t="s">
        <v>69</v>
      </c>
      <c r="AG54" s="13" t="s">
        <v>1033</v>
      </c>
      <c r="AH54" s="13" t="s">
        <v>178</v>
      </c>
      <c r="AI54" s="13" t="s">
        <v>179</v>
      </c>
      <c r="AJ54" s="13" t="s">
        <v>1034</v>
      </c>
      <c r="AK54" s="13" t="s">
        <v>1035</v>
      </c>
      <c r="AL54" s="13" t="s">
        <v>69</v>
      </c>
      <c r="AM54" s="13" t="s">
        <v>69</v>
      </c>
      <c r="AN54" s="13" t="s">
        <v>69</v>
      </c>
      <c r="AO54" s="13" t="s">
        <v>69</v>
      </c>
      <c r="AP54" s="13" t="s">
        <v>1024</v>
      </c>
      <c r="AQ54" s="13" t="s">
        <v>1036</v>
      </c>
      <c r="AR54" s="13" t="s">
        <v>372</v>
      </c>
      <c r="AS54" s="13" t="s">
        <v>414</v>
      </c>
      <c r="AT54" s="13" t="s">
        <v>1037</v>
      </c>
      <c r="AU54" s="13" t="s">
        <v>1038</v>
      </c>
      <c r="AV54" s="13" t="s">
        <v>1039</v>
      </c>
      <c r="AW54" s="13" t="s">
        <v>1040</v>
      </c>
      <c r="AX54" s="13" t="s">
        <v>69</v>
      </c>
      <c r="AY54" s="13" t="s">
        <v>96</v>
      </c>
      <c r="AZ54" s="17" t="s">
        <v>69</v>
      </c>
      <c r="BA54" s="13" t="s">
        <v>126</v>
      </c>
      <c r="BB54" s="13" t="s">
        <v>98</v>
      </c>
      <c r="BC54" s="13" t="s">
        <v>99</v>
      </c>
      <c r="BD54" s="11" t="str">
        <f>HYPERLINK("http://www.myblockboard.com","www.myblockboard.com")</f>
        <v>www.myblockboard.com</v>
      </c>
      <c r="BE54" s="11" t="str">
        <f>HYPERLINK("http://www.linkedin.com/company/video-ico","http://www.linkedin.com/company/video-ico")</f>
        <v>http://www.linkedin.com/company/video-ico</v>
      </c>
      <c r="BF54" s="16">
        <v>28</v>
      </c>
      <c r="BG54" s="13" t="s">
        <v>1041</v>
      </c>
      <c r="BH54" s="13" t="s">
        <v>69</v>
      </c>
      <c r="BI54" s="13" t="s">
        <v>69</v>
      </c>
      <c r="BJ54" s="15">
        <v>2019</v>
      </c>
      <c r="BK54" s="13" t="s">
        <v>69</v>
      </c>
      <c r="BL54" s="14">
        <v>45310</v>
      </c>
      <c r="BM54" s="13" t="s">
        <v>69</v>
      </c>
      <c r="BN54" s="13" t="s">
        <v>69</v>
      </c>
      <c r="BO54" s="11" t="str">
        <f>HYPERLINK("https://my.pitchbook.com?c=538869-52","View Company Online")</f>
        <v>View Company Online</v>
      </c>
    </row>
    <row r="55" spans="1:67" x14ac:dyDescent="0.3">
      <c r="A55" s="3" t="s">
        <v>1042</v>
      </c>
      <c r="B55" s="3" t="s">
        <v>1043</v>
      </c>
      <c r="C55" s="3" t="s">
        <v>69</v>
      </c>
      <c r="D55" s="5" t="s">
        <v>69</v>
      </c>
      <c r="E55" s="3" t="s">
        <v>69</v>
      </c>
      <c r="F55" s="3" t="s">
        <v>69</v>
      </c>
      <c r="G55" s="3" t="s">
        <v>69</v>
      </c>
      <c r="H55" s="3" t="s">
        <v>69</v>
      </c>
      <c r="I55" s="4">
        <v>100</v>
      </c>
      <c r="J55" s="7">
        <v>112.77</v>
      </c>
      <c r="K55" s="4" t="s">
        <v>69</v>
      </c>
      <c r="L55" s="4" t="s">
        <v>69</v>
      </c>
      <c r="M55" s="4" t="s">
        <v>69</v>
      </c>
      <c r="N55" s="4" t="s">
        <v>69</v>
      </c>
      <c r="O55" s="4" t="s">
        <v>69</v>
      </c>
      <c r="P55" s="4" t="s">
        <v>69</v>
      </c>
      <c r="Q55" s="4" t="s">
        <v>69</v>
      </c>
      <c r="R55" s="6" t="s">
        <v>960</v>
      </c>
      <c r="S55" s="3" t="s">
        <v>1044</v>
      </c>
      <c r="T55" s="3" t="s">
        <v>1045</v>
      </c>
      <c r="U55" s="3" t="s">
        <v>626</v>
      </c>
      <c r="V55" s="3" t="s">
        <v>1046</v>
      </c>
      <c r="W55" s="3" t="s">
        <v>1047</v>
      </c>
      <c r="X55" s="3" t="s">
        <v>1048</v>
      </c>
      <c r="Y55" s="3" t="s">
        <v>1049</v>
      </c>
      <c r="Z55" s="3" t="s">
        <v>69</v>
      </c>
      <c r="AA55" s="3" t="s">
        <v>1050</v>
      </c>
      <c r="AB55" s="3" t="s">
        <v>175</v>
      </c>
      <c r="AC55" s="6" t="s">
        <v>1051</v>
      </c>
      <c r="AD55" s="3" t="s">
        <v>177</v>
      </c>
      <c r="AE55" s="6" t="s">
        <v>1047</v>
      </c>
      <c r="AF55" s="6" t="s">
        <v>69</v>
      </c>
      <c r="AG55" s="3" t="s">
        <v>69</v>
      </c>
      <c r="AH55" s="3" t="s">
        <v>178</v>
      </c>
      <c r="AI55" s="3" t="s">
        <v>179</v>
      </c>
      <c r="AJ55" s="3" t="s">
        <v>69</v>
      </c>
      <c r="AK55" s="3" t="s">
        <v>69</v>
      </c>
      <c r="AL55" s="3" t="s">
        <v>69</v>
      </c>
      <c r="AM55" s="3" t="s">
        <v>69</v>
      </c>
      <c r="AN55" s="3" t="s">
        <v>69</v>
      </c>
      <c r="AO55" s="3" t="s">
        <v>1052</v>
      </c>
      <c r="AP55" s="3" t="s">
        <v>1042</v>
      </c>
      <c r="AQ55" s="3" t="s">
        <v>1053</v>
      </c>
      <c r="AR55" s="3" t="s">
        <v>90</v>
      </c>
      <c r="AS55" s="3" t="s">
        <v>337</v>
      </c>
      <c r="AT55" s="3" t="s">
        <v>812</v>
      </c>
      <c r="AU55" s="3" t="s">
        <v>1054</v>
      </c>
      <c r="AV55" s="3" t="s">
        <v>340</v>
      </c>
      <c r="AW55" s="3" t="s">
        <v>1055</v>
      </c>
      <c r="AX55" s="3" t="s">
        <v>69</v>
      </c>
      <c r="AY55" s="3" t="s">
        <v>96</v>
      </c>
      <c r="AZ55" s="8" t="s">
        <v>69</v>
      </c>
      <c r="BA55" s="3" t="s">
        <v>126</v>
      </c>
      <c r="BB55" s="3" t="s">
        <v>98</v>
      </c>
      <c r="BC55" s="3" t="s">
        <v>99</v>
      </c>
      <c r="BD55" s="12" t="str">
        <f>HYPERLINK("http://www.bobswatches.com","www.bobswatches.com")</f>
        <v>www.bobswatches.com</v>
      </c>
      <c r="BE55" s="12" t="str">
        <f>HYPERLINK("http://www.linkedin.com/company/bob's-watches","http://www.linkedin.com/company/bob's-watches")</f>
        <v>http://www.linkedin.com/company/bob's-watches</v>
      </c>
      <c r="BF55" s="9">
        <v>50</v>
      </c>
      <c r="BG55" s="3" t="s">
        <v>1056</v>
      </c>
      <c r="BH55" s="3" t="s">
        <v>69</v>
      </c>
      <c r="BI55" s="3" t="s">
        <v>69</v>
      </c>
      <c r="BJ55" s="10">
        <v>1999</v>
      </c>
      <c r="BK55" s="3" t="s">
        <v>69</v>
      </c>
      <c r="BL55" s="1">
        <v>45295</v>
      </c>
      <c r="BM55" s="3" t="s">
        <v>69</v>
      </c>
      <c r="BN55" s="3" t="s">
        <v>69</v>
      </c>
      <c r="BO55" s="12" t="str">
        <f>HYPERLINK("https://my.pitchbook.com?c=236769-49","View Company Online")</f>
        <v>View Company Online</v>
      </c>
    </row>
    <row r="56" spans="1:67" x14ac:dyDescent="0.3">
      <c r="A56" s="13" t="s">
        <v>1057</v>
      </c>
      <c r="B56" s="13" t="s">
        <v>1058</v>
      </c>
      <c r="C56" s="13" t="s">
        <v>69</v>
      </c>
      <c r="D56" s="21" t="s">
        <v>69</v>
      </c>
      <c r="E56" s="13" t="s">
        <v>69</v>
      </c>
      <c r="F56" s="13" t="s">
        <v>69</v>
      </c>
      <c r="G56" s="13" t="s">
        <v>69</v>
      </c>
      <c r="H56" s="13" t="s">
        <v>1059</v>
      </c>
      <c r="I56" s="19">
        <v>98.7</v>
      </c>
      <c r="J56" s="20">
        <v>-2.57</v>
      </c>
      <c r="K56" s="19" t="s">
        <v>69</v>
      </c>
      <c r="L56" s="19" t="s">
        <v>69</v>
      </c>
      <c r="M56" s="19" t="s">
        <v>69</v>
      </c>
      <c r="N56" s="19">
        <v>3.5</v>
      </c>
      <c r="O56" s="19" t="s">
        <v>69</v>
      </c>
      <c r="P56" s="19" t="s">
        <v>69</v>
      </c>
      <c r="Q56" s="19" t="s">
        <v>69</v>
      </c>
      <c r="R56" s="18" t="s">
        <v>997</v>
      </c>
      <c r="S56" s="13" t="s">
        <v>1060</v>
      </c>
      <c r="T56" s="13" t="s">
        <v>1061</v>
      </c>
      <c r="U56" s="13" t="s">
        <v>1062</v>
      </c>
      <c r="V56" s="13" t="s">
        <v>1063</v>
      </c>
      <c r="W56" s="13" t="s">
        <v>1064</v>
      </c>
      <c r="X56" s="13" t="s">
        <v>1065</v>
      </c>
      <c r="Y56" s="13" t="s">
        <v>1066</v>
      </c>
      <c r="Z56" s="13" t="s">
        <v>69</v>
      </c>
      <c r="AA56" s="13" t="s">
        <v>1067</v>
      </c>
      <c r="AB56" s="13" t="s">
        <v>175</v>
      </c>
      <c r="AC56" s="18" t="s">
        <v>1068</v>
      </c>
      <c r="AD56" s="13" t="s">
        <v>177</v>
      </c>
      <c r="AE56" s="18" t="s">
        <v>1069</v>
      </c>
      <c r="AF56" s="18" t="s">
        <v>69</v>
      </c>
      <c r="AG56" s="13" t="s">
        <v>69</v>
      </c>
      <c r="AH56" s="13" t="s">
        <v>178</v>
      </c>
      <c r="AI56" s="13" t="s">
        <v>179</v>
      </c>
      <c r="AJ56" s="13" t="s">
        <v>69</v>
      </c>
      <c r="AK56" s="13" t="s">
        <v>69</v>
      </c>
      <c r="AL56" s="13" t="s">
        <v>1070</v>
      </c>
      <c r="AM56" s="13" t="s">
        <v>69</v>
      </c>
      <c r="AN56" s="13" t="s">
        <v>69</v>
      </c>
      <c r="AO56" s="13" t="s">
        <v>1071</v>
      </c>
      <c r="AP56" s="13" t="s">
        <v>1057</v>
      </c>
      <c r="AQ56" s="13" t="s">
        <v>1072</v>
      </c>
      <c r="AR56" s="13" t="s">
        <v>90</v>
      </c>
      <c r="AS56" s="13" t="s">
        <v>121</v>
      </c>
      <c r="AT56" s="13" t="s">
        <v>1073</v>
      </c>
      <c r="AU56" s="13" t="s">
        <v>1074</v>
      </c>
      <c r="AV56" s="13" t="s">
        <v>69</v>
      </c>
      <c r="AW56" s="13" t="s">
        <v>1075</v>
      </c>
      <c r="AX56" s="13" t="s">
        <v>69</v>
      </c>
      <c r="AY56" s="13" t="s">
        <v>96</v>
      </c>
      <c r="AZ56" s="17">
        <v>20</v>
      </c>
      <c r="BA56" s="13" t="s">
        <v>1005</v>
      </c>
      <c r="BB56" s="13" t="s">
        <v>98</v>
      </c>
      <c r="BC56" s="13" t="s">
        <v>827</v>
      </c>
      <c r="BD56" s="11" t="str">
        <f>HYPERLINK("http://www.shiekh.com","www.shiekh.com")</f>
        <v>www.shiekh.com</v>
      </c>
      <c r="BE56" s="11" t="str">
        <f>HYPERLINK("http://www.linkedin.com/company/shiekh-shoes","http://www.linkedin.com/company/shiekh-shoes")</f>
        <v>http://www.linkedin.com/company/shiekh-shoes</v>
      </c>
      <c r="BF56" s="16" t="s">
        <v>69</v>
      </c>
      <c r="BG56" s="13" t="s">
        <v>69</v>
      </c>
      <c r="BH56" s="13" t="s">
        <v>69</v>
      </c>
      <c r="BI56" s="13" t="s">
        <v>69</v>
      </c>
      <c r="BJ56" s="15">
        <v>1991</v>
      </c>
      <c r="BK56" s="13" t="s">
        <v>69</v>
      </c>
      <c r="BL56" s="14">
        <v>45474</v>
      </c>
      <c r="BM56" s="13" t="s">
        <v>69</v>
      </c>
      <c r="BN56" s="13" t="s">
        <v>69</v>
      </c>
      <c r="BO56" s="11" t="str">
        <f>HYPERLINK("https://my.pitchbook.com?c=155937-52","View Company Online")</f>
        <v>View Company Online</v>
      </c>
    </row>
    <row r="57" spans="1:67" x14ac:dyDescent="0.3">
      <c r="A57" s="3" t="s">
        <v>1076</v>
      </c>
      <c r="B57" s="3" t="s">
        <v>1077</v>
      </c>
      <c r="C57" s="3" t="s">
        <v>69</v>
      </c>
      <c r="D57" s="5" t="s">
        <v>69</v>
      </c>
      <c r="E57" s="3" t="s">
        <v>69</v>
      </c>
      <c r="F57" s="3" t="s">
        <v>69</v>
      </c>
      <c r="G57" s="3" t="s">
        <v>69</v>
      </c>
      <c r="H57" s="3" t="s">
        <v>69</v>
      </c>
      <c r="I57" s="4">
        <v>96.53</v>
      </c>
      <c r="J57" s="7">
        <v>-0.85</v>
      </c>
      <c r="K57" s="4">
        <v>34.17</v>
      </c>
      <c r="L57" s="4">
        <v>18.170000000000002</v>
      </c>
      <c r="M57" s="4" t="s">
        <v>69</v>
      </c>
      <c r="N57" s="4">
        <v>16.670000000000002</v>
      </c>
      <c r="O57" s="4">
        <v>15.76</v>
      </c>
      <c r="P57" s="4" t="s">
        <v>69</v>
      </c>
      <c r="Q57" s="4">
        <v>0</v>
      </c>
      <c r="R57" s="6" t="s">
        <v>152</v>
      </c>
      <c r="S57" s="3" t="s">
        <v>69</v>
      </c>
      <c r="T57" s="3" t="s">
        <v>69</v>
      </c>
      <c r="U57" s="3" t="s">
        <v>69</v>
      </c>
      <c r="V57" s="3" t="s">
        <v>69</v>
      </c>
      <c r="W57" s="3" t="s">
        <v>69</v>
      </c>
      <c r="X57" s="3" t="s">
        <v>1078</v>
      </c>
      <c r="Y57" s="3" t="s">
        <v>1079</v>
      </c>
      <c r="Z57" s="3" t="s">
        <v>69</v>
      </c>
      <c r="AA57" s="3" t="s">
        <v>1080</v>
      </c>
      <c r="AB57" s="3" t="s">
        <v>110</v>
      </c>
      <c r="AC57" s="6" t="s">
        <v>1081</v>
      </c>
      <c r="AD57" s="3" t="s">
        <v>112</v>
      </c>
      <c r="AE57" s="6" t="s">
        <v>1082</v>
      </c>
      <c r="AF57" s="6" t="s">
        <v>69</v>
      </c>
      <c r="AG57" s="3" t="s">
        <v>69</v>
      </c>
      <c r="AH57" s="3" t="s">
        <v>113</v>
      </c>
      <c r="AI57" s="3" t="s">
        <v>114</v>
      </c>
      <c r="AJ57" s="3" t="s">
        <v>69</v>
      </c>
      <c r="AK57" s="3" t="s">
        <v>69</v>
      </c>
      <c r="AL57" s="3" t="s">
        <v>69</v>
      </c>
      <c r="AM57" s="3" t="s">
        <v>1083</v>
      </c>
      <c r="AN57" s="3" t="s">
        <v>118</v>
      </c>
      <c r="AO57" s="3" t="s">
        <v>69</v>
      </c>
      <c r="AP57" s="3" t="s">
        <v>1076</v>
      </c>
      <c r="AQ57" s="3" t="s">
        <v>1084</v>
      </c>
      <c r="AR57" s="3" t="s">
        <v>90</v>
      </c>
      <c r="AS57" s="3" t="s">
        <v>121</v>
      </c>
      <c r="AT57" s="3" t="s">
        <v>145</v>
      </c>
      <c r="AU57" s="3" t="s">
        <v>1085</v>
      </c>
      <c r="AV57" s="3" t="s">
        <v>69</v>
      </c>
      <c r="AW57" s="3" t="s">
        <v>1086</v>
      </c>
      <c r="AX57" s="3" t="s">
        <v>69</v>
      </c>
      <c r="AY57" s="3" t="s">
        <v>96</v>
      </c>
      <c r="AZ57" s="8" t="s">
        <v>69</v>
      </c>
      <c r="BA57" s="3" t="s">
        <v>69</v>
      </c>
      <c r="BB57" s="3" t="s">
        <v>98</v>
      </c>
      <c r="BC57" s="3" t="s">
        <v>99</v>
      </c>
      <c r="BD57" s="12" t="str">
        <f>HYPERLINK("http://berrysjewellers.co.uk","berrysjewellers.co.uk")</f>
        <v>berrysjewellers.co.uk</v>
      </c>
      <c r="BE57" s="3" t="s">
        <v>69</v>
      </c>
      <c r="BF57" s="9">
        <v>135</v>
      </c>
      <c r="BG57" s="3" t="s">
        <v>1087</v>
      </c>
      <c r="BH57" s="3" t="s">
        <v>69</v>
      </c>
      <c r="BI57" s="3" t="s">
        <v>69</v>
      </c>
      <c r="BJ57" s="10">
        <v>1897</v>
      </c>
      <c r="BK57" s="3" t="s">
        <v>69</v>
      </c>
      <c r="BL57" s="1">
        <v>45632</v>
      </c>
      <c r="BM57" s="3" t="s">
        <v>69</v>
      </c>
      <c r="BN57" s="3" t="s">
        <v>69</v>
      </c>
      <c r="BO57" s="12" t="str">
        <f>HYPERLINK("https://my.pitchbook.com?c=135268-57","View Company Online")</f>
        <v>View Company Online</v>
      </c>
    </row>
    <row r="58" spans="1:67" x14ac:dyDescent="0.3">
      <c r="A58" s="13" t="s">
        <v>1088</v>
      </c>
      <c r="B58" s="13" t="s">
        <v>1089</v>
      </c>
      <c r="C58" s="13" t="s">
        <v>69</v>
      </c>
      <c r="D58" s="21" t="s">
        <v>69</v>
      </c>
      <c r="E58" s="13" t="s">
        <v>69</v>
      </c>
      <c r="F58" s="13" t="s">
        <v>69</v>
      </c>
      <c r="G58" s="13" t="s">
        <v>69</v>
      </c>
      <c r="H58" s="13" t="s">
        <v>69</v>
      </c>
      <c r="I58" s="19">
        <v>95.94</v>
      </c>
      <c r="J58" s="20">
        <v>5.3</v>
      </c>
      <c r="K58" s="19" t="s">
        <v>69</v>
      </c>
      <c r="L58" s="19">
        <v>13.05</v>
      </c>
      <c r="M58" s="19" t="s">
        <v>69</v>
      </c>
      <c r="N58" s="19" t="s">
        <v>69</v>
      </c>
      <c r="O58" s="19" t="s">
        <v>69</v>
      </c>
      <c r="P58" s="19" t="s">
        <v>69</v>
      </c>
      <c r="Q58" s="19" t="s">
        <v>69</v>
      </c>
      <c r="R58" s="18" t="s">
        <v>152</v>
      </c>
      <c r="S58" s="13" t="s">
        <v>1090</v>
      </c>
      <c r="T58" s="13" t="s">
        <v>1091</v>
      </c>
      <c r="U58" s="13" t="s">
        <v>1028</v>
      </c>
      <c r="V58" s="13" t="s">
        <v>1092</v>
      </c>
      <c r="W58" s="13" t="s">
        <v>69</v>
      </c>
      <c r="X58" s="13" t="s">
        <v>1093</v>
      </c>
      <c r="Y58" s="13" t="s">
        <v>69</v>
      </c>
      <c r="Z58" s="13" t="s">
        <v>69</v>
      </c>
      <c r="AA58" s="13" t="s">
        <v>69</v>
      </c>
      <c r="AB58" s="13" t="s">
        <v>69</v>
      </c>
      <c r="AC58" s="18" t="s">
        <v>69</v>
      </c>
      <c r="AD58" s="13" t="s">
        <v>1093</v>
      </c>
      <c r="AE58" s="18" t="s">
        <v>69</v>
      </c>
      <c r="AF58" s="18" t="s">
        <v>69</v>
      </c>
      <c r="AG58" s="13" t="s">
        <v>1094</v>
      </c>
      <c r="AH58" s="13" t="s">
        <v>83</v>
      </c>
      <c r="AI58" s="13" t="s">
        <v>1095</v>
      </c>
      <c r="AJ58" s="13" t="s">
        <v>69</v>
      </c>
      <c r="AK58" s="13" t="s">
        <v>69</v>
      </c>
      <c r="AL58" s="13" t="s">
        <v>1096</v>
      </c>
      <c r="AM58" s="13" t="s">
        <v>69</v>
      </c>
      <c r="AN58" s="13" t="s">
        <v>69</v>
      </c>
      <c r="AO58" s="13" t="s">
        <v>69</v>
      </c>
      <c r="AP58" s="13" t="s">
        <v>1088</v>
      </c>
      <c r="AQ58" s="13" t="s">
        <v>1097</v>
      </c>
      <c r="AR58" s="13" t="s">
        <v>90</v>
      </c>
      <c r="AS58" s="13" t="s">
        <v>1098</v>
      </c>
      <c r="AT58" s="13" t="s">
        <v>1099</v>
      </c>
      <c r="AU58" s="13" t="s">
        <v>1100</v>
      </c>
      <c r="AV58" s="13" t="s">
        <v>1101</v>
      </c>
      <c r="AW58" s="13" t="s">
        <v>1102</v>
      </c>
      <c r="AX58" s="13" t="s">
        <v>69</v>
      </c>
      <c r="AY58" s="13" t="s">
        <v>96</v>
      </c>
      <c r="AZ58" s="17" t="s">
        <v>69</v>
      </c>
      <c r="BA58" s="13" t="s">
        <v>126</v>
      </c>
      <c r="BB58" s="13" t="s">
        <v>98</v>
      </c>
      <c r="BC58" s="13" t="s">
        <v>99</v>
      </c>
      <c r="BD58" s="11" t="str">
        <f>HYPERLINK("http://www.aniplus-asia.com","www.aniplus-asia.com")</f>
        <v>www.aniplus-asia.com</v>
      </c>
      <c r="BE58" s="13" t="s">
        <v>69</v>
      </c>
      <c r="BF58" s="16" t="s">
        <v>69</v>
      </c>
      <c r="BG58" s="13" t="s">
        <v>69</v>
      </c>
      <c r="BH58" s="13" t="s">
        <v>69</v>
      </c>
      <c r="BI58" s="13" t="s">
        <v>69</v>
      </c>
      <c r="BJ58" s="15">
        <v>2013</v>
      </c>
      <c r="BK58" s="13" t="s">
        <v>69</v>
      </c>
      <c r="BL58" s="14">
        <v>45670</v>
      </c>
      <c r="BM58" s="13" t="s">
        <v>69</v>
      </c>
      <c r="BN58" s="13" t="s">
        <v>69</v>
      </c>
      <c r="BO58" s="11" t="str">
        <f>HYPERLINK("https://my.pitchbook.com?c=503660-71","View Company Online")</f>
        <v>View Company Online</v>
      </c>
    </row>
    <row r="59" spans="1:67" x14ac:dyDescent="0.3">
      <c r="A59" s="3" t="s">
        <v>1103</v>
      </c>
      <c r="B59" s="3" t="s">
        <v>1104</v>
      </c>
      <c r="C59" s="3" t="s">
        <v>69</v>
      </c>
      <c r="D59" s="5" t="s">
        <v>69</v>
      </c>
      <c r="E59" s="3" t="s">
        <v>69</v>
      </c>
      <c r="F59" s="3" t="s">
        <v>69</v>
      </c>
      <c r="G59" s="3" t="s">
        <v>69</v>
      </c>
      <c r="H59" s="3" t="s">
        <v>69</v>
      </c>
      <c r="I59" s="4">
        <v>91.2</v>
      </c>
      <c r="J59" s="7" t="s">
        <v>69</v>
      </c>
      <c r="K59" s="4" t="s">
        <v>69</v>
      </c>
      <c r="L59" s="4">
        <v>42.06</v>
      </c>
      <c r="M59" s="4" t="s">
        <v>69</v>
      </c>
      <c r="N59" s="4" t="s">
        <v>69</v>
      </c>
      <c r="O59" s="4" t="s">
        <v>69</v>
      </c>
      <c r="P59" s="4" t="s">
        <v>69</v>
      </c>
      <c r="Q59" s="4" t="s">
        <v>69</v>
      </c>
      <c r="R59" s="6" t="s">
        <v>960</v>
      </c>
      <c r="S59" s="3" t="s">
        <v>1105</v>
      </c>
      <c r="T59" s="3" t="s">
        <v>1106</v>
      </c>
      <c r="U59" s="3" t="s">
        <v>1107</v>
      </c>
      <c r="V59" s="3" t="s">
        <v>1108</v>
      </c>
      <c r="W59" s="3" t="s">
        <v>1109</v>
      </c>
      <c r="X59" s="3" t="s">
        <v>1110</v>
      </c>
      <c r="Y59" s="3" t="s">
        <v>1111</v>
      </c>
      <c r="Z59" s="3" t="s">
        <v>69</v>
      </c>
      <c r="AA59" s="3" t="s">
        <v>1112</v>
      </c>
      <c r="AB59" s="3" t="s">
        <v>1113</v>
      </c>
      <c r="AC59" s="6" t="s">
        <v>1114</v>
      </c>
      <c r="AD59" s="3" t="s">
        <v>177</v>
      </c>
      <c r="AE59" s="6" t="s">
        <v>1109</v>
      </c>
      <c r="AF59" s="6" t="s">
        <v>69</v>
      </c>
      <c r="AG59" s="3" t="s">
        <v>69</v>
      </c>
      <c r="AH59" s="3" t="s">
        <v>178</v>
      </c>
      <c r="AI59" s="3" t="s">
        <v>179</v>
      </c>
      <c r="AJ59" s="3" t="s">
        <v>69</v>
      </c>
      <c r="AK59" s="3" t="s">
        <v>69</v>
      </c>
      <c r="AL59" s="3" t="s">
        <v>1115</v>
      </c>
      <c r="AM59" s="3" t="s">
        <v>69</v>
      </c>
      <c r="AN59" s="3" t="s">
        <v>69</v>
      </c>
      <c r="AO59" s="3" t="s">
        <v>69</v>
      </c>
      <c r="AP59" s="3" t="s">
        <v>1103</v>
      </c>
      <c r="AQ59" s="3" t="s">
        <v>1116</v>
      </c>
      <c r="AR59" s="3" t="s">
        <v>182</v>
      </c>
      <c r="AS59" s="3" t="s">
        <v>183</v>
      </c>
      <c r="AT59" s="3" t="s">
        <v>1117</v>
      </c>
      <c r="AU59" s="3" t="s">
        <v>1118</v>
      </c>
      <c r="AV59" s="3" t="s">
        <v>69</v>
      </c>
      <c r="AW59" s="3" t="s">
        <v>69</v>
      </c>
      <c r="AX59" s="3" t="s">
        <v>69</v>
      </c>
      <c r="AY59" s="3" t="s">
        <v>96</v>
      </c>
      <c r="AZ59" s="8" t="s">
        <v>69</v>
      </c>
      <c r="BA59" s="3" t="s">
        <v>126</v>
      </c>
      <c r="BB59" s="3" t="s">
        <v>98</v>
      </c>
      <c r="BC59" s="3" t="s">
        <v>99</v>
      </c>
      <c r="BD59" s="12" t="str">
        <f>HYPERLINK("http://judicialwatch.org","judicialwatch.org")</f>
        <v>judicialwatch.org</v>
      </c>
      <c r="BE59" s="3" t="s">
        <v>69</v>
      </c>
      <c r="BF59" s="9">
        <v>50</v>
      </c>
      <c r="BG59" s="3" t="s">
        <v>1119</v>
      </c>
      <c r="BH59" s="3" t="s">
        <v>69</v>
      </c>
      <c r="BI59" s="3" t="s">
        <v>69</v>
      </c>
      <c r="BJ59" s="10">
        <v>1994</v>
      </c>
      <c r="BK59" s="3" t="s">
        <v>69</v>
      </c>
      <c r="BL59" s="1">
        <v>45664</v>
      </c>
      <c r="BM59" s="3" t="s">
        <v>69</v>
      </c>
      <c r="BN59" s="3" t="s">
        <v>69</v>
      </c>
      <c r="BO59" s="12" t="str">
        <f>HYPERLINK("https://my.pitchbook.com?c=374614-84","View Company Online")</f>
        <v>View Company Online</v>
      </c>
    </row>
    <row r="60" spans="1:67" x14ac:dyDescent="0.3">
      <c r="A60" s="13" t="s">
        <v>1120</v>
      </c>
      <c r="B60" s="13" t="s">
        <v>1121</v>
      </c>
      <c r="C60" s="13" t="s">
        <v>69</v>
      </c>
      <c r="D60" s="21" t="s">
        <v>69</v>
      </c>
      <c r="E60" s="13" t="s">
        <v>69</v>
      </c>
      <c r="F60" s="13" t="s">
        <v>69</v>
      </c>
      <c r="G60" s="13" t="s">
        <v>69</v>
      </c>
      <c r="H60" s="13" t="s">
        <v>1122</v>
      </c>
      <c r="I60" s="19">
        <v>89</v>
      </c>
      <c r="J60" s="20" t="s">
        <v>69</v>
      </c>
      <c r="K60" s="19" t="s">
        <v>69</v>
      </c>
      <c r="L60" s="19" t="s">
        <v>69</v>
      </c>
      <c r="M60" s="19" t="s">
        <v>69</v>
      </c>
      <c r="N60" s="19" t="s">
        <v>69</v>
      </c>
      <c r="O60" s="19" t="s">
        <v>69</v>
      </c>
      <c r="P60" s="19" t="s">
        <v>69</v>
      </c>
      <c r="Q60" s="19" t="s">
        <v>69</v>
      </c>
      <c r="R60" s="18" t="s">
        <v>321</v>
      </c>
      <c r="S60" s="13" t="s">
        <v>1123</v>
      </c>
      <c r="T60" s="13" t="s">
        <v>1124</v>
      </c>
      <c r="U60" s="13" t="s">
        <v>1125</v>
      </c>
      <c r="V60" s="13" t="s">
        <v>1126</v>
      </c>
      <c r="W60" s="13" t="s">
        <v>1127</v>
      </c>
      <c r="X60" s="13" t="s">
        <v>1128</v>
      </c>
      <c r="Y60" s="13" t="s">
        <v>1129</v>
      </c>
      <c r="Z60" s="13" t="s">
        <v>69</v>
      </c>
      <c r="AA60" s="13" t="s">
        <v>1130</v>
      </c>
      <c r="AB60" s="13" t="s">
        <v>1131</v>
      </c>
      <c r="AC60" s="18" t="s">
        <v>1132</v>
      </c>
      <c r="AD60" s="13" t="s">
        <v>177</v>
      </c>
      <c r="AE60" s="18" t="s">
        <v>1127</v>
      </c>
      <c r="AF60" s="18" t="s">
        <v>69</v>
      </c>
      <c r="AG60" s="13" t="s">
        <v>1133</v>
      </c>
      <c r="AH60" s="13" t="s">
        <v>178</v>
      </c>
      <c r="AI60" s="13" t="s">
        <v>179</v>
      </c>
      <c r="AJ60" s="13" t="s">
        <v>69</v>
      </c>
      <c r="AK60" s="13" t="s">
        <v>1134</v>
      </c>
      <c r="AL60" s="13" t="s">
        <v>1135</v>
      </c>
      <c r="AM60" s="13" t="s">
        <v>69</v>
      </c>
      <c r="AN60" s="13" t="s">
        <v>69</v>
      </c>
      <c r="AO60" s="13" t="s">
        <v>69</v>
      </c>
      <c r="AP60" s="13" t="s">
        <v>1120</v>
      </c>
      <c r="AQ60" s="13" t="s">
        <v>1136</v>
      </c>
      <c r="AR60" s="13" t="s">
        <v>90</v>
      </c>
      <c r="AS60" s="13" t="s">
        <v>510</v>
      </c>
      <c r="AT60" s="13" t="s">
        <v>1137</v>
      </c>
      <c r="AU60" s="13" t="s">
        <v>1138</v>
      </c>
      <c r="AV60" s="13" t="s">
        <v>69</v>
      </c>
      <c r="AW60" s="13" t="s">
        <v>1139</v>
      </c>
      <c r="AX60" s="13" t="s">
        <v>69</v>
      </c>
      <c r="AY60" s="13" t="s">
        <v>96</v>
      </c>
      <c r="AZ60" s="17" t="s">
        <v>69</v>
      </c>
      <c r="BA60" s="13" t="s">
        <v>126</v>
      </c>
      <c r="BB60" s="13" t="s">
        <v>98</v>
      </c>
      <c r="BC60" s="13" t="s">
        <v>827</v>
      </c>
      <c r="BD60" s="11" t="str">
        <f>HYPERLINK("http://www.learningexpress.com","www.learningexpress.com")</f>
        <v>www.learningexpress.com</v>
      </c>
      <c r="BE60" s="11" t="str">
        <f>HYPERLINK("http://www.linkedin.com/company/learning-express","http://www.linkedin.com/company/learning-express")</f>
        <v>http://www.linkedin.com/company/learning-express</v>
      </c>
      <c r="BF60" s="16">
        <v>445</v>
      </c>
      <c r="BG60" s="13" t="s">
        <v>1140</v>
      </c>
      <c r="BH60" s="13" t="s">
        <v>69</v>
      </c>
      <c r="BI60" s="13" t="s">
        <v>69</v>
      </c>
      <c r="BJ60" s="15">
        <v>1987</v>
      </c>
      <c r="BK60" s="13" t="s">
        <v>69</v>
      </c>
      <c r="BL60" s="14">
        <v>45576</v>
      </c>
      <c r="BM60" s="13" t="s">
        <v>69</v>
      </c>
      <c r="BN60" s="13" t="s">
        <v>69</v>
      </c>
      <c r="BO60" s="11" t="str">
        <f>HYPERLINK("https://my.pitchbook.com?c=232624-36","View Company Online")</f>
        <v>View Company Online</v>
      </c>
    </row>
    <row r="61" spans="1:67" x14ac:dyDescent="0.3">
      <c r="A61" s="3" t="s">
        <v>1141</v>
      </c>
      <c r="B61" s="3" t="s">
        <v>1142</v>
      </c>
      <c r="C61" s="3" t="s">
        <v>69</v>
      </c>
      <c r="D61" s="5" t="s">
        <v>69</v>
      </c>
      <c r="E61" s="3" t="s">
        <v>69</v>
      </c>
      <c r="F61" s="3" t="s">
        <v>69</v>
      </c>
      <c r="G61" s="3" t="s">
        <v>69</v>
      </c>
      <c r="H61" s="3" t="s">
        <v>69</v>
      </c>
      <c r="I61" s="4">
        <v>88.92</v>
      </c>
      <c r="J61" s="7">
        <v>-17.34</v>
      </c>
      <c r="K61" s="4" t="s">
        <v>69</v>
      </c>
      <c r="L61" s="4">
        <v>2.62</v>
      </c>
      <c r="M61" s="4" t="s">
        <v>69</v>
      </c>
      <c r="N61" s="4" t="s">
        <v>69</v>
      </c>
      <c r="O61" s="4">
        <v>2.91</v>
      </c>
      <c r="P61" s="4" t="s">
        <v>69</v>
      </c>
      <c r="Q61" s="4">
        <v>3.25</v>
      </c>
      <c r="R61" s="6" t="s">
        <v>381</v>
      </c>
      <c r="S61" s="3" t="s">
        <v>69</v>
      </c>
      <c r="T61" s="3" t="s">
        <v>69</v>
      </c>
      <c r="U61" s="3" t="s">
        <v>69</v>
      </c>
      <c r="V61" s="3" t="s">
        <v>69</v>
      </c>
      <c r="W61" s="3" t="s">
        <v>69</v>
      </c>
      <c r="X61" s="3" t="s">
        <v>1143</v>
      </c>
      <c r="Y61" s="3" t="s">
        <v>1144</v>
      </c>
      <c r="Z61" s="3" t="s">
        <v>69</v>
      </c>
      <c r="AA61" s="3" t="s">
        <v>1145</v>
      </c>
      <c r="AB61" s="3" t="s">
        <v>1146</v>
      </c>
      <c r="AC61" s="6" t="s">
        <v>1147</v>
      </c>
      <c r="AD61" s="3" t="s">
        <v>445</v>
      </c>
      <c r="AE61" s="6" t="s">
        <v>69</v>
      </c>
      <c r="AF61" s="6" t="s">
        <v>69</v>
      </c>
      <c r="AG61" s="3" t="s">
        <v>69</v>
      </c>
      <c r="AH61" s="3" t="s">
        <v>113</v>
      </c>
      <c r="AI61" s="3" t="s">
        <v>114</v>
      </c>
      <c r="AJ61" s="3" t="s">
        <v>69</v>
      </c>
      <c r="AK61" s="3" t="s">
        <v>69</v>
      </c>
      <c r="AL61" s="3" t="s">
        <v>1148</v>
      </c>
      <c r="AM61" s="3" t="s">
        <v>1149</v>
      </c>
      <c r="AN61" s="3" t="s">
        <v>1150</v>
      </c>
      <c r="AO61" s="3" t="s">
        <v>69</v>
      </c>
      <c r="AP61" s="3" t="s">
        <v>1141</v>
      </c>
      <c r="AQ61" s="3" t="s">
        <v>1151</v>
      </c>
      <c r="AR61" s="3" t="s">
        <v>90</v>
      </c>
      <c r="AS61" s="3" t="s">
        <v>337</v>
      </c>
      <c r="AT61" s="3" t="s">
        <v>812</v>
      </c>
      <c r="AU61" s="3" t="s">
        <v>858</v>
      </c>
      <c r="AV61" s="3" t="s">
        <v>69</v>
      </c>
      <c r="AW61" s="3" t="s">
        <v>69</v>
      </c>
      <c r="AX61" s="3" t="s">
        <v>69</v>
      </c>
      <c r="AY61" s="3" t="s">
        <v>96</v>
      </c>
      <c r="AZ61" s="8" t="s">
        <v>69</v>
      </c>
      <c r="BA61" s="3" t="s">
        <v>69</v>
      </c>
      <c r="BB61" s="3" t="s">
        <v>98</v>
      </c>
      <c r="BC61" s="3" t="s">
        <v>99</v>
      </c>
      <c r="BD61" s="12" t="str">
        <f>HYPERLINK("http://seiko.de","seiko.de")</f>
        <v>seiko.de</v>
      </c>
      <c r="BE61" s="3" t="s">
        <v>69</v>
      </c>
      <c r="BF61" s="9">
        <v>397</v>
      </c>
      <c r="BG61" s="3" t="s">
        <v>1152</v>
      </c>
      <c r="BH61" s="3" t="s">
        <v>69</v>
      </c>
      <c r="BI61" s="3" t="s">
        <v>69</v>
      </c>
      <c r="BJ61" s="10">
        <v>1971</v>
      </c>
      <c r="BK61" s="3" t="s">
        <v>1153</v>
      </c>
      <c r="BL61" s="1">
        <v>45704</v>
      </c>
      <c r="BM61" s="3" t="s">
        <v>69</v>
      </c>
      <c r="BN61" s="3" t="s">
        <v>69</v>
      </c>
      <c r="BO61" s="12" t="str">
        <f>HYPERLINK("https://my.pitchbook.com?c=225009-46","View Company Online")</f>
        <v>View Company Online</v>
      </c>
    </row>
    <row r="62" spans="1:67" x14ac:dyDescent="0.3">
      <c r="A62" s="13" t="s">
        <v>1154</v>
      </c>
      <c r="B62" s="13" t="s">
        <v>1155</v>
      </c>
      <c r="C62" s="13" t="s">
        <v>69</v>
      </c>
      <c r="D62" s="21" t="s">
        <v>69</v>
      </c>
      <c r="E62" s="13" t="s">
        <v>69</v>
      </c>
      <c r="F62" s="13" t="s">
        <v>69</v>
      </c>
      <c r="G62" s="13" t="s">
        <v>69</v>
      </c>
      <c r="H62" s="13" t="s">
        <v>69</v>
      </c>
      <c r="I62" s="19">
        <v>81.290000000000006</v>
      </c>
      <c r="J62" s="20">
        <v>12.72</v>
      </c>
      <c r="K62" s="19" t="s">
        <v>69</v>
      </c>
      <c r="L62" s="19">
        <v>-5.13</v>
      </c>
      <c r="M62" s="19" t="s">
        <v>69</v>
      </c>
      <c r="N62" s="19">
        <v>-3.1</v>
      </c>
      <c r="O62" s="19">
        <v>-5.72</v>
      </c>
      <c r="P62" s="19" t="s">
        <v>69</v>
      </c>
      <c r="Q62" s="19">
        <v>5.46</v>
      </c>
      <c r="R62" s="18" t="s">
        <v>321</v>
      </c>
      <c r="S62" s="13" t="s">
        <v>1156</v>
      </c>
      <c r="T62" s="13" t="s">
        <v>1157</v>
      </c>
      <c r="U62" s="13" t="s">
        <v>1158</v>
      </c>
      <c r="V62" s="13" t="s">
        <v>1159</v>
      </c>
      <c r="W62" s="13" t="s">
        <v>69</v>
      </c>
      <c r="X62" s="13" t="s">
        <v>1160</v>
      </c>
      <c r="Y62" s="13" t="s">
        <v>1161</v>
      </c>
      <c r="Z62" s="13" t="s">
        <v>1162</v>
      </c>
      <c r="AA62" s="13" t="s">
        <v>1163</v>
      </c>
      <c r="AB62" s="13" t="s">
        <v>1164</v>
      </c>
      <c r="AC62" s="18" t="s">
        <v>1165</v>
      </c>
      <c r="AD62" s="13" t="s">
        <v>139</v>
      </c>
      <c r="AE62" s="18" t="s">
        <v>69</v>
      </c>
      <c r="AF62" s="18" t="s">
        <v>69</v>
      </c>
      <c r="AG62" s="13" t="s">
        <v>69</v>
      </c>
      <c r="AH62" s="13" t="s">
        <v>113</v>
      </c>
      <c r="AI62" s="13" t="s">
        <v>114</v>
      </c>
      <c r="AJ62" s="13" t="s">
        <v>69</v>
      </c>
      <c r="AK62" s="13" t="s">
        <v>69</v>
      </c>
      <c r="AL62" s="13" t="s">
        <v>1166</v>
      </c>
      <c r="AM62" s="13" t="s">
        <v>1167</v>
      </c>
      <c r="AN62" s="13" t="s">
        <v>142</v>
      </c>
      <c r="AO62" s="13" t="s">
        <v>69</v>
      </c>
      <c r="AP62" s="13" t="s">
        <v>1154</v>
      </c>
      <c r="AQ62" s="13" t="s">
        <v>1168</v>
      </c>
      <c r="AR62" s="13" t="s">
        <v>90</v>
      </c>
      <c r="AS62" s="13" t="s">
        <v>337</v>
      </c>
      <c r="AT62" s="13" t="s">
        <v>812</v>
      </c>
      <c r="AU62" s="13" t="s">
        <v>858</v>
      </c>
      <c r="AV62" s="13" t="s">
        <v>69</v>
      </c>
      <c r="AW62" s="13" t="s">
        <v>69</v>
      </c>
      <c r="AX62" s="13" t="s">
        <v>69</v>
      </c>
      <c r="AY62" s="13" t="s">
        <v>96</v>
      </c>
      <c r="AZ62" s="17" t="s">
        <v>69</v>
      </c>
      <c r="BA62" s="13" t="s">
        <v>69</v>
      </c>
      <c r="BB62" s="13" t="s">
        <v>98</v>
      </c>
      <c r="BC62" s="13" t="s">
        <v>99</v>
      </c>
      <c r="BD62" s="11" t="str">
        <f>HYPERLINK("http://louispion.fr","louispion.fr")</f>
        <v>louispion.fr</v>
      </c>
      <c r="BE62" s="13" t="s">
        <v>69</v>
      </c>
      <c r="BF62" s="16" t="s">
        <v>69</v>
      </c>
      <c r="BG62" s="13" t="s">
        <v>69</v>
      </c>
      <c r="BH62" s="13" t="s">
        <v>69</v>
      </c>
      <c r="BI62" s="13" t="s">
        <v>69</v>
      </c>
      <c r="BJ62" s="15">
        <v>1993</v>
      </c>
      <c r="BK62" s="13" t="s">
        <v>69</v>
      </c>
      <c r="BL62" s="14">
        <v>45680</v>
      </c>
      <c r="BM62" s="13" t="s">
        <v>69</v>
      </c>
      <c r="BN62" s="13" t="s">
        <v>69</v>
      </c>
      <c r="BO62" s="11" t="str">
        <f>HYPERLINK("https://my.pitchbook.com?c=213935-95","View Company Online")</f>
        <v>View Company Online</v>
      </c>
    </row>
    <row r="63" spans="1:67" x14ac:dyDescent="0.3">
      <c r="A63" s="3" t="s">
        <v>1169</v>
      </c>
      <c r="B63" s="3" t="s">
        <v>1170</v>
      </c>
      <c r="C63" s="3" t="s">
        <v>69</v>
      </c>
      <c r="D63" s="5" t="s">
        <v>69</v>
      </c>
      <c r="E63" s="3" t="s">
        <v>69</v>
      </c>
      <c r="F63" s="3" t="s">
        <v>69</v>
      </c>
      <c r="G63" s="3" t="s">
        <v>69</v>
      </c>
      <c r="H63" s="3" t="s">
        <v>69</v>
      </c>
      <c r="I63" s="4">
        <v>79.72</v>
      </c>
      <c r="J63" s="7">
        <v>-16.829999999999998</v>
      </c>
      <c r="K63" s="4">
        <v>16.41</v>
      </c>
      <c r="L63" s="4">
        <v>36.36</v>
      </c>
      <c r="M63" s="4" t="s">
        <v>69</v>
      </c>
      <c r="N63" s="4" t="s">
        <v>69</v>
      </c>
      <c r="O63" s="4">
        <v>0.89</v>
      </c>
      <c r="P63" s="4" t="s">
        <v>69</v>
      </c>
      <c r="Q63" s="4">
        <v>0</v>
      </c>
      <c r="R63" s="6" t="s">
        <v>70</v>
      </c>
      <c r="S63" s="3" t="s">
        <v>69</v>
      </c>
      <c r="T63" s="3" t="s">
        <v>69</v>
      </c>
      <c r="U63" s="3" t="s">
        <v>69</v>
      </c>
      <c r="V63" s="3" t="s">
        <v>69</v>
      </c>
      <c r="W63" s="3" t="s">
        <v>69</v>
      </c>
      <c r="X63" s="3" t="s">
        <v>1171</v>
      </c>
      <c r="Y63" s="3" t="s">
        <v>1172</v>
      </c>
      <c r="Z63" s="3" t="s">
        <v>69</v>
      </c>
      <c r="AA63" s="3" t="s">
        <v>1173</v>
      </c>
      <c r="AB63" s="3" t="s">
        <v>1174</v>
      </c>
      <c r="AC63" s="6" t="s">
        <v>69</v>
      </c>
      <c r="AD63" s="3" t="s">
        <v>763</v>
      </c>
      <c r="AE63" s="6" t="s">
        <v>69</v>
      </c>
      <c r="AF63" s="6" t="s">
        <v>69</v>
      </c>
      <c r="AG63" s="3" t="s">
        <v>69</v>
      </c>
      <c r="AH63" s="3" t="s">
        <v>113</v>
      </c>
      <c r="AI63" s="3" t="s">
        <v>114</v>
      </c>
      <c r="AJ63" s="3" t="s">
        <v>69</v>
      </c>
      <c r="AK63" s="3" t="s">
        <v>69</v>
      </c>
      <c r="AL63" s="3" t="s">
        <v>69</v>
      </c>
      <c r="AM63" s="3" t="s">
        <v>1175</v>
      </c>
      <c r="AN63" s="3" t="s">
        <v>767</v>
      </c>
      <c r="AO63" s="3" t="s">
        <v>69</v>
      </c>
      <c r="AP63" s="3" t="s">
        <v>1169</v>
      </c>
      <c r="AQ63" s="3" t="s">
        <v>1176</v>
      </c>
      <c r="AR63" s="3" t="s">
        <v>90</v>
      </c>
      <c r="AS63" s="3" t="s">
        <v>510</v>
      </c>
      <c r="AT63" s="3" t="s">
        <v>511</v>
      </c>
      <c r="AU63" s="3" t="s">
        <v>1177</v>
      </c>
      <c r="AV63" s="3" t="s">
        <v>69</v>
      </c>
      <c r="AW63" s="3" t="s">
        <v>1178</v>
      </c>
      <c r="AX63" s="3" t="s">
        <v>69</v>
      </c>
      <c r="AY63" s="3" t="s">
        <v>96</v>
      </c>
      <c r="AZ63" s="8" t="s">
        <v>69</v>
      </c>
      <c r="BA63" s="3" t="s">
        <v>69</v>
      </c>
      <c r="BB63" s="3" t="s">
        <v>98</v>
      </c>
      <c r="BC63" s="3" t="s">
        <v>99</v>
      </c>
      <c r="BD63" s="12" t="str">
        <f>HYPERLINK("http://oneforall.com","oneforall.com")</f>
        <v>oneforall.com</v>
      </c>
      <c r="BE63" s="12" t="str">
        <f>HYPERLINK("http://www.linkedin.com/company/one-for-all-worldwide","http://www.linkedin.com/company/one-for-all-worldwide")</f>
        <v>http://www.linkedin.com/company/one-for-all-worldwide</v>
      </c>
      <c r="BF63" s="9">
        <v>93</v>
      </c>
      <c r="BG63" s="3" t="s">
        <v>1179</v>
      </c>
      <c r="BH63" s="3" t="s">
        <v>69</v>
      </c>
      <c r="BI63" s="3" t="s">
        <v>69</v>
      </c>
      <c r="BJ63" s="10">
        <v>1992</v>
      </c>
      <c r="BK63" s="3" t="s">
        <v>69</v>
      </c>
      <c r="BL63" s="1">
        <v>45375</v>
      </c>
      <c r="BM63" s="3" t="s">
        <v>69</v>
      </c>
      <c r="BN63" s="3" t="s">
        <v>69</v>
      </c>
      <c r="BO63" s="12" t="str">
        <f>HYPERLINK("https://my.pitchbook.com?c=554331-07","View Company Online")</f>
        <v>View Company Online</v>
      </c>
    </row>
    <row r="64" spans="1:67" x14ac:dyDescent="0.3">
      <c r="A64" s="13" t="s">
        <v>1180</v>
      </c>
      <c r="B64" s="13" t="s">
        <v>1181</v>
      </c>
      <c r="C64" s="13" t="s">
        <v>69</v>
      </c>
      <c r="D64" s="21" t="s">
        <v>69</v>
      </c>
      <c r="E64" s="13" t="s">
        <v>69</v>
      </c>
      <c r="F64" s="13" t="s">
        <v>69</v>
      </c>
      <c r="G64" s="13" t="s">
        <v>69</v>
      </c>
      <c r="H64" s="13" t="s">
        <v>69</v>
      </c>
      <c r="I64" s="19">
        <v>77.53</v>
      </c>
      <c r="J64" s="20">
        <v>21.22</v>
      </c>
      <c r="K64" s="19" t="s">
        <v>69</v>
      </c>
      <c r="L64" s="19">
        <v>20.350000000000001</v>
      </c>
      <c r="M64" s="19" t="s">
        <v>69</v>
      </c>
      <c r="N64" s="19" t="s">
        <v>69</v>
      </c>
      <c r="O64" s="19">
        <v>26.27</v>
      </c>
      <c r="P64" s="19" t="s">
        <v>69</v>
      </c>
      <c r="Q64" s="19">
        <v>0</v>
      </c>
      <c r="R64" s="18" t="s">
        <v>321</v>
      </c>
      <c r="S64" s="13" t="s">
        <v>1182</v>
      </c>
      <c r="T64" s="13" t="s">
        <v>1183</v>
      </c>
      <c r="U64" s="13" t="s">
        <v>73</v>
      </c>
      <c r="V64" s="13" t="s">
        <v>1184</v>
      </c>
      <c r="W64" s="13" t="s">
        <v>1185</v>
      </c>
      <c r="X64" s="13" t="s">
        <v>1186</v>
      </c>
      <c r="Y64" s="13" t="s">
        <v>1187</v>
      </c>
      <c r="Z64" s="13" t="s">
        <v>1188</v>
      </c>
      <c r="AA64" s="13" t="s">
        <v>1189</v>
      </c>
      <c r="AB64" s="13" t="s">
        <v>69</v>
      </c>
      <c r="AC64" s="18" t="s">
        <v>1190</v>
      </c>
      <c r="AD64" s="13" t="s">
        <v>1191</v>
      </c>
      <c r="AE64" s="18" t="s">
        <v>1185</v>
      </c>
      <c r="AF64" s="18" t="s">
        <v>69</v>
      </c>
      <c r="AG64" s="13" t="s">
        <v>1192</v>
      </c>
      <c r="AH64" s="13" t="s">
        <v>113</v>
      </c>
      <c r="AI64" s="13" t="s">
        <v>307</v>
      </c>
      <c r="AJ64" s="13" t="s">
        <v>69</v>
      </c>
      <c r="AK64" s="13" t="s">
        <v>69</v>
      </c>
      <c r="AL64" s="13" t="s">
        <v>1193</v>
      </c>
      <c r="AM64" s="13" t="s">
        <v>1194</v>
      </c>
      <c r="AN64" s="13" t="s">
        <v>1195</v>
      </c>
      <c r="AO64" s="13" t="s">
        <v>69</v>
      </c>
      <c r="AP64" s="13" t="s">
        <v>1180</v>
      </c>
      <c r="AQ64" s="13" t="s">
        <v>1196</v>
      </c>
      <c r="AR64" s="13" t="s">
        <v>90</v>
      </c>
      <c r="AS64" s="13" t="s">
        <v>121</v>
      </c>
      <c r="AT64" s="13" t="s">
        <v>166</v>
      </c>
      <c r="AU64" s="13" t="s">
        <v>244</v>
      </c>
      <c r="AV64" s="13" t="s">
        <v>69</v>
      </c>
      <c r="AW64" s="13" t="s">
        <v>1197</v>
      </c>
      <c r="AX64" s="13" t="s">
        <v>69</v>
      </c>
      <c r="AY64" s="13" t="s">
        <v>96</v>
      </c>
      <c r="AZ64" s="17" t="s">
        <v>69</v>
      </c>
      <c r="BA64" s="13" t="s">
        <v>126</v>
      </c>
      <c r="BB64" s="13" t="s">
        <v>98</v>
      </c>
      <c r="BC64" s="13" t="s">
        <v>99</v>
      </c>
      <c r="BD64" s="11" t="str">
        <f>HYPERLINK("http://www.davidrosas.com","www.davidrosas.com")</f>
        <v>www.davidrosas.com</v>
      </c>
      <c r="BE64" s="11" t="str">
        <f>HYPERLINK("http://www.linkedin.com/company/david-rosas","http://www.linkedin.com/company/david-rosas")</f>
        <v>http://www.linkedin.com/company/david-rosas</v>
      </c>
      <c r="BF64" s="16">
        <v>41</v>
      </c>
      <c r="BG64" s="13" t="s">
        <v>1198</v>
      </c>
      <c r="BH64" s="13" t="s">
        <v>69</v>
      </c>
      <c r="BI64" s="13" t="s">
        <v>69</v>
      </c>
      <c r="BJ64" s="15">
        <v>1984</v>
      </c>
      <c r="BK64" s="13" t="s">
        <v>69</v>
      </c>
      <c r="BL64" s="14">
        <v>45691</v>
      </c>
      <c r="BM64" s="13" t="s">
        <v>69</v>
      </c>
      <c r="BN64" s="13" t="s">
        <v>69</v>
      </c>
      <c r="BO64" s="11" t="str">
        <f>HYPERLINK("https://my.pitchbook.com?c=471388-33","View Company Online")</f>
        <v>View Company Online</v>
      </c>
    </row>
    <row r="65" spans="1:67" x14ac:dyDescent="0.3">
      <c r="A65" s="3" t="s">
        <v>1199</v>
      </c>
      <c r="B65" s="3" t="s">
        <v>1200</v>
      </c>
      <c r="C65" s="3" t="s">
        <v>69</v>
      </c>
      <c r="D65" s="5" t="s">
        <v>69</v>
      </c>
      <c r="E65" s="3" t="s">
        <v>69</v>
      </c>
      <c r="F65" s="3" t="s">
        <v>69</v>
      </c>
      <c r="G65" s="3" t="s">
        <v>69</v>
      </c>
      <c r="H65" s="3" t="s">
        <v>69</v>
      </c>
      <c r="I65" s="4">
        <v>72.680000000000007</v>
      </c>
      <c r="J65" s="7">
        <v>-0.12</v>
      </c>
      <c r="K65" s="4">
        <v>11.21</v>
      </c>
      <c r="L65" s="4">
        <v>2.15</v>
      </c>
      <c r="M65" s="4" t="s">
        <v>69</v>
      </c>
      <c r="N65" s="4">
        <v>5.89</v>
      </c>
      <c r="O65" s="4">
        <v>4.04</v>
      </c>
      <c r="P65" s="4" t="s">
        <v>69</v>
      </c>
      <c r="Q65" s="4">
        <v>20.66</v>
      </c>
      <c r="R65" s="6" t="s">
        <v>152</v>
      </c>
      <c r="S65" s="3" t="s">
        <v>69</v>
      </c>
      <c r="T65" s="3" t="s">
        <v>69</v>
      </c>
      <c r="U65" s="3" t="s">
        <v>69</v>
      </c>
      <c r="V65" s="3" t="s">
        <v>69</v>
      </c>
      <c r="W65" s="3" t="s">
        <v>69</v>
      </c>
      <c r="X65" s="3" t="s">
        <v>1201</v>
      </c>
      <c r="Y65" s="3" t="s">
        <v>1202</v>
      </c>
      <c r="Z65" s="3" t="s">
        <v>69</v>
      </c>
      <c r="AA65" s="3" t="s">
        <v>1203</v>
      </c>
      <c r="AB65" s="3" t="s">
        <v>1204</v>
      </c>
      <c r="AC65" s="6" t="s">
        <v>1205</v>
      </c>
      <c r="AD65" s="3" t="s">
        <v>112</v>
      </c>
      <c r="AE65" s="6" t="s">
        <v>69</v>
      </c>
      <c r="AF65" s="6" t="s">
        <v>69</v>
      </c>
      <c r="AG65" s="3" t="s">
        <v>69</v>
      </c>
      <c r="AH65" s="3" t="s">
        <v>113</v>
      </c>
      <c r="AI65" s="3" t="s">
        <v>114</v>
      </c>
      <c r="AJ65" s="3" t="s">
        <v>69</v>
      </c>
      <c r="AK65" s="3" t="s">
        <v>69</v>
      </c>
      <c r="AL65" s="3" t="s">
        <v>69</v>
      </c>
      <c r="AM65" s="3" t="s">
        <v>1206</v>
      </c>
      <c r="AN65" s="3" t="s">
        <v>118</v>
      </c>
      <c r="AO65" s="3" t="s">
        <v>69</v>
      </c>
      <c r="AP65" s="3" t="s">
        <v>1199</v>
      </c>
      <c r="AQ65" s="3" t="s">
        <v>1207</v>
      </c>
      <c r="AR65" s="3" t="s">
        <v>90</v>
      </c>
      <c r="AS65" s="3" t="s">
        <v>337</v>
      </c>
      <c r="AT65" s="3" t="s">
        <v>812</v>
      </c>
      <c r="AU65" s="3" t="s">
        <v>858</v>
      </c>
      <c r="AV65" s="3" t="s">
        <v>69</v>
      </c>
      <c r="AW65" s="3" t="s">
        <v>69</v>
      </c>
      <c r="AX65" s="3" t="s">
        <v>69</v>
      </c>
      <c r="AY65" s="3" t="s">
        <v>96</v>
      </c>
      <c r="AZ65" s="8" t="s">
        <v>69</v>
      </c>
      <c r="BA65" s="3" t="s">
        <v>69</v>
      </c>
      <c r="BB65" s="3" t="s">
        <v>98</v>
      </c>
      <c r="BC65" s="3" t="s">
        <v>99</v>
      </c>
      <c r="BD65" s="12" t="str">
        <f>HYPERLINK("http://chisholmhunter.co.uk","chisholmhunter.co.uk")</f>
        <v>chisholmhunter.co.uk</v>
      </c>
      <c r="BE65" s="12" t="str">
        <f>HYPERLINK("http://www.linkedin.com/company/chisholm-hunter","http://www.linkedin.com/company/chisholm-hunter")</f>
        <v>http://www.linkedin.com/company/chisholm-hunter</v>
      </c>
      <c r="BF65" s="9">
        <v>346</v>
      </c>
      <c r="BG65" s="3" t="s">
        <v>1208</v>
      </c>
      <c r="BH65" s="3" t="s">
        <v>69</v>
      </c>
      <c r="BI65" s="3" t="s">
        <v>69</v>
      </c>
      <c r="BJ65" s="10">
        <v>1857</v>
      </c>
      <c r="BK65" s="3" t="s">
        <v>69</v>
      </c>
      <c r="BL65" s="1">
        <v>45760</v>
      </c>
      <c r="BM65" s="3" t="s">
        <v>69</v>
      </c>
      <c r="BN65" s="3" t="s">
        <v>69</v>
      </c>
      <c r="BO65" s="12" t="str">
        <f>HYPERLINK("https://my.pitchbook.com?c=546955-12","View Company Online")</f>
        <v>View Company Online</v>
      </c>
    </row>
    <row r="66" spans="1:67" x14ac:dyDescent="0.3">
      <c r="A66" s="13" t="s">
        <v>1209</v>
      </c>
      <c r="B66" s="13" t="s">
        <v>1210</v>
      </c>
      <c r="C66" s="13" t="s">
        <v>69</v>
      </c>
      <c r="D66" s="21" t="s">
        <v>69</v>
      </c>
      <c r="E66" s="13" t="s">
        <v>69</v>
      </c>
      <c r="F66" s="13" t="s">
        <v>69</v>
      </c>
      <c r="G66" s="13" t="s">
        <v>69</v>
      </c>
      <c r="H66" s="13" t="s">
        <v>69</v>
      </c>
      <c r="I66" s="19">
        <v>71.27</v>
      </c>
      <c r="J66" s="20">
        <v>19.73</v>
      </c>
      <c r="K66" s="19" t="s">
        <v>69</v>
      </c>
      <c r="L66" s="19">
        <v>0.08</v>
      </c>
      <c r="M66" s="19" t="s">
        <v>69</v>
      </c>
      <c r="N66" s="19">
        <v>0.23</v>
      </c>
      <c r="O66" s="19">
        <v>0.2</v>
      </c>
      <c r="P66" s="19" t="s">
        <v>69</v>
      </c>
      <c r="Q66" s="19">
        <v>0</v>
      </c>
      <c r="R66" s="18" t="s">
        <v>70</v>
      </c>
      <c r="S66" s="13" t="s">
        <v>69</v>
      </c>
      <c r="T66" s="13" t="s">
        <v>69</v>
      </c>
      <c r="U66" s="13" t="s">
        <v>69</v>
      </c>
      <c r="V66" s="13" t="s">
        <v>69</v>
      </c>
      <c r="W66" s="13" t="s">
        <v>69</v>
      </c>
      <c r="X66" s="13" t="s">
        <v>1013</v>
      </c>
      <c r="Y66" s="13" t="s">
        <v>1211</v>
      </c>
      <c r="Z66" s="13" t="s">
        <v>69</v>
      </c>
      <c r="AA66" s="13" t="s">
        <v>1015</v>
      </c>
      <c r="AB66" s="13" t="s">
        <v>1015</v>
      </c>
      <c r="AC66" s="18" t="s">
        <v>1212</v>
      </c>
      <c r="AD66" s="13" t="s">
        <v>806</v>
      </c>
      <c r="AE66" s="18" t="s">
        <v>69</v>
      </c>
      <c r="AF66" s="18" t="s">
        <v>69</v>
      </c>
      <c r="AG66" s="13" t="s">
        <v>1213</v>
      </c>
      <c r="AH66" s="13" t="s">
        <v>113</v>
      </c>
      <c r="AI66" s="13" t="s">
        <v>307</v>
      </c>
      <c r="AJ66" s="13" t="s">
        <v>69</v>
      </c>
      <c r="AK66" s="13" t="s">
        <v>69</v>
      </c>
      <c r="AL66" s="13" t="s">
        <v>1214</v>
      </c>
      <c r="AM66" s="13" t="s">
        <v>1215</v>
      </c>
      <c r="AN66" s="13" t="s">
        <v>810</v>
      </c>
      <c r="AO66" s="13" t="s">
        <v>69</v>
      </c>
      <c r="AP66" s="13" t="s">
        <v>1209</v>
      </c>
      <c r="AQ66" s="13" t="s">
        <v>1216</v>
      </c>
      <c r="AR66" s="13" t="s">
        <v>182</v>
      </c>
      <c r="AS66" s="13" t="s">
        <v>313</v>
      </c>
      <c r="AT66" s="13" t="s">
        <v>567</v>
      </c>
      <c r="AU66" s="13" t="s">
        <v>568</v>
      </c>
      <c r="AV66" s="13" t="s">
        <v>69</v>
      </c>
      <c r="AW66" s="13" t="s">
        <v>69</v>
      </c>
      <c r="AX66" s="13" t="s">
        <v>69</v>
      </c>
      <c r="AY66" s="13" t="s">
        <v>96</v>
      </c>
      <c r="AZ66" s="17" t="s">
        <v>69</v>
      </c>
      <c r="BA66" s="13" t="s">
        <v>69</v>
      </c>
      <c r="BB66" s="13" t="s">
        <v>98</v>
      </c>
      <c r="BC66" s="13" t="s">
        <v>99</v>
      </c>
      <c r="BD66" s="11" t="str">
        <f>HYPERLINK("http://iridemetalli.com","iridemetalli.com")</f>
        <v>iridemetalli.com</v>
      </c>
      <c r="BE66" s="13" t="s">
        <v>69</v>
      </c>
      <c r="BF66" s="16">
        <v>6</v>
      </c>
      <c r="BG66" s="13" t="s">
        <v>1217</v>
      </c>
      <c r="BH66" s="13" t="s">
        <v>69</v>
      </c>
      <c r="BI66" s="13" t="s">
        <v>69</v>
      </c>
      <c r="BJ66" s="15">
        <v>2008</v>
      </c>
      <c r="BK66" s="13" t="s">
        <v>69</v>
      </c>
      <c r="BL66" s="14">
        <v>45722</v>
      </c>
      <c r="BM66" s="13" t="s">
        <v>69</v>
      </c>
      <c r="BN66" s="13" t="s">
        <v>69</v>
      </c>
      <c r="BO66" s="11" t="str">
        <f>HYPERLINK("https://my.pitchbook.com?c=586749-97","View Company Online")</f>
        <v>View Company Online</v>
      </c>
    </row>
    <row r="67" spans="1:67" x14ac:dyDescent="0.3">
      <c r="A67" s="3" t="s">
        <v>1218</v>
      </c>
      <c r="B67" s="3" t="s">
        <v>1219</v>
      </c>
      <c r="C67" s="3" t="s">
        <v>69</v>
      </c>
      <c r="D67" s="5" t="s">
        <v>69</v>
      </c>
      <c r="E67" s="3" t="s">
        <v>69</v>
      </c>
      <c r="F67" s="3" t="s">
        <v>69</v>
      </c>
      <c r="G67" s="3" t="s">
        <v>69</v>
      </c>
      <c r="H67" s="3" t="s">
        <v>69</v>
      </c>
      <c r="I67" s="4">
        <v>69.69</v>
      </c>
      <c r="J67" s="7">
        <v>9.23</v>
      </c>
      <c r="K67" s="4">
        <v>24.67</v>
      </c>
      <c r="L67" s="4">
        <v>8.08</v>
      </c>
      <c r="M67" s="4" t="s">
        <v>69</v>
      </c>
      <c r="N67" s="4">
        <v>12.74</v>
      </c>
      <c r="O67" s="4">
        <v>11.03</v>
      </c>
      <c r="P67" s="4" t="s">
        <v>69</v>
      </c>
      <c r="Q67" s="4">
        <v>0</v>
      </c>
      <c r="R67" s="6" t="s">
        <v>152</v>
      </c>
      <c r="S67" s="3" t="s">
        <v>69</v>
      </c>
      <c r="T67" s="3" t="s">
        <v>69</v>
      </c>
      <c r="U67" s="3" t="s">
        <v>69</v>
      </c>
      <c r="V67" s="3" t="s">
        <v>69</v>
      </c>
      <c r="W67" s="3" t="s">
        <v>69</v>
      </c>
      <c r="X67" s="3" t="s">
        <v>1220</v>
      </c>
      <c r="Y67" s="3" t="s">
        <v>1221</v>
      </c>
      <c r="Z67" s="3" t="s">
        <v>69</v>
      </c>
      <c r="AA67" s="3" t="s">
        <v>1222</v>
      </c>
      <c r="AB67" s="3" t="s">
        <v>110</v>
      </c>
      <c r="AC67" s="6" t="s">
        <v>1223</v>
      </c>
      <c r="AD67" s="3" t="s">
        <v>112</v>
      </c>
      <c r="AE67" s="6" t="s">
        <v>69</v>
      </c>
      <c r="AF67" s="6" t="s">
        <v>69</v>
      </c>
      <c r="AG67" s="3" t="s">
        <v>69</v>
      </c>
      <c r="AH67" s="3" t="s">
        <v>113</v>
      </c>
      <c r="AI67" s="3" t="s">
        <v>114</v>
      </c>
      <c r="AJ67" s="3" t="s">
        <v>69</v>
      </c>
      <c r="AK67" s="3" t="s">
        <v>69</v>
      </c>
      <c r="AL67" s="3" t="s">
        <v>1224</v>
      </c>
      <c r="AM67" s="3" t="s">
        <v>1225</v>
      </c>
      <c r="AN67" s="3" t="s">
        <v>118</v>
      </c>
      <c r="AO67" s="3" t="s">
        <v>69</v>
      </c>
      <c r="AP67" s="3" t="s">
        <v>1218</v>
      </c>
      <c r="AQ67" s="3" t="s">
        <v>1226</v>
      </c>
      <c r="AR67" s="3" t="s">
        <v>90</v>
      </c>
      <c r="AS67" s="3" t="s">
        <v>337</v>
      </c>
      <c r="AT67" s="3" t="s">
        <v>812</v>
      </c>
      <c r="AU67" s="3" t="s">
        <v>858</v>
      </c>
      <c r="AV67" s="3" t="s">
        <v>69</v>
      </c>
      <c r="AW67" s="3" t="s">
        <v>1227</v>
      </c>
      <c r="AX67" s="3" t="s">
        <v>69</v>
      </c>
      <c r="AY67" s="3" t="s">
        <v>96</v>
      </c>
      <c r="AZ67" s="8" t="s">
        <v>69</v>
      </c>
      <c r="BA67" s="3" t="s">
        <v>126</v>
      </c>
      <c r="BB67" s="3" t="s">
        <v>98</v>
      </c>
      <c r="BC67" s="3" t="s">
        <v>99</v>
      </c>
      <c r="BD67" s="12" t="str">
        <f>HYPERLINK("http://prestonsdiamonds.co.uk","prestonsdiamonds.co.uk")</f>
        <v>prestonsdiamonds.co.uk</v>
      </c>
      <c r="BE67" s="3" t="s">
        <v>69</v>
      </c>
      <c r="BF67" s="9">
        <v>85</v>
      </c>
      <c r="BG67" s="3" t="s">
        <v>1228</v>
      </c>
      <c r="BH67" s="3" t="s">
        <v>69</v>
      </c>
      <c r="BI67" s="3" t="s">
        <v>69</v>
      </c>
      <c r="BJ67" s="10">
        <v>1991</v>
      </c>
      <c r="BK67" s="3" t="s">
        <v>1229</v>
      </c>
      <c r="BL67" s="1">
        <v>45697</v>
      </c>
      <c r="BM67" s="3" t="s">
        <v>69</v>
      </c>
      <c r="BN67" s="3" t="s">
        <v>69</v>
      </c>
      <c r="BO67" s="12" t="str">
        <f>HYPERLINK("https://my.pitchbook.com?c=207235-18","View Company Online")</f>
        <v>View Company Online</v>
      </c>
    </row>
    <row r="68" spans="1:67" x14ac:dyDescent="0.3">
      <c r="A68" s="13" t="s">
        <v>1230</v>
      </c>
      <c r="B68" s="13" t="s">
        <v>1231</v>
      </c>
      <c r="C68" s="13" t="s">
        <v>69</v>
      </c>
      <c r="D68" s="21" t="s">
        <v>69</v>
      </c>
      <c r="E68" s="13" t="s">
        <v>69</v>
      </c>
      <c r="F68" s="13" t="s">
        <v>69</v>
      </c>
      <c r="G68" s="13" t="s">
        <v>69</v>
      </c>
      <c r="H68" s="13" t="s">
        <v>69</v>
      </c>
      <c r="I68" s="19">
        <v>64.95</v>
      </c>
      <c r="J68" s="20">
        <v>84.26</v>
      </c>
      <c r="K68" s="19" t="s">
        <v>69</v>
      </c>
      <c r="L68" s="19">
        <v>-9.0299999999999994</v>
      </c>
      <c r="M68" s="19" t="s">
        <v>69</v>
      </c>
      <c r="N68" s="19">
        <v>-10.83</v>
      </c>
      <c r="O68" s="19">
        <v>-12.89</v>
      </c>
      <c r="P68" s="19" t="s">
        <v>69</v>
      </c>
      <c r="Q68" s="19">
        <v>8.86</v>
      </c>
      <c r="R68" s="18" t="s">
        <v>70</v>
      </c>
      <c r="S68" s="13" t="s">
        <v>69</v>
      </c>
      <c r="T68" s="13" t="s">
        <v>69</v>
      </c>
      <c r="U68" s="13" t="s">
        <v>69</v>
      </c>
      <c r="V68" s="13" t="s">
        <v>69</v>
      </c>
      <c r="W68" s="13" t="s">
        <v>69</v>
      </c>
      <c r="X68" s="13" t="s">
        <v>1232</v>
      </c>
      <c r="Y68" s="13" t="s">
        <v>1233</v>
      </c>
      <c r="Z68" s="13" t="s">
        <v>69</v>
      </c>
      <c r="AA68" s="13" t="s">
        <v>1234</v>
      </c>
      <c r="AB68" s="13" t="s">
        <v>1235</v>
      </c>
      <c r="AC68" s="18" t="s">
        <v>1236</v>
      </c>
      <c r="AD68" s="13" t="s">
        <v>139</v>
      </c>
      <c r="AE68" s="18" t="s">
        <v>69</v>
      </c>
      <c r="AF68" s="18" t="s">
        <v>69</v>
      </c>
      <c r="AG68" s="13" t="s">
        <v>69</v>
      </c>
      <c r="AH68" s="13" t="s">
        <v>113</v>
      </c>
      <c r="AI68" s="13" t="s">
        <v>114</v>
      </c>
      <c r="AJ68" s="13" t="s">
        <v>69</v>
      </c>
      <c r="AK68" s="13" t="s">
        <v>69</v>
      </c>
      <c r="AL68" s="13" t="s">
        <v>69</v>
      </c>
      <c r="AM68" s="13" t="s">
        <v>69</v>
      </c>
      <c r="AN68" s="13" t="s">
        <v>69</v>
      </c>
      <c r="AO68" s="13" t="s">
        <v>69</v>
      </c>
      <c r="AP68" s="13" t="s">
        <v>1230</v>
      </c>
      <c r="AQ68" s="13" t="s">
        <v>1237</v>
      </c>
      <c r="AR68" s="13" t="s">
        <v>372</v>
      </c>
      <c r="AS68" s="13" t="s">
        <v>1238</v>
      </c>
      <c r="AT68" s="13" t="s">
        <v>1239</v>
      </c>
      <c r="AU68" s="13" t="s">
        <v>1240</v>
      </c>
      <c r="AV68" s="13" t="s">
        <v>69</v>
      </c>
      <c r="AW68" s="13" t="s">
        <v>1241</v>
      </c>
      <c r="AX68" s="13" t="s">
        <v>69</v>
      </c>
      <c r="AY68" s="13" t="s">
        <v>96</v>
      </c>
      <c r="AZ68" s="17" t="s">
        <v>69</v>
      </c>
      <c r="BA68" s="13" t="s">
        <v>69</v>
      </c>
      <c r="BB68" s="13" t="s">
        <v>98</v>
      </c>
      <c r="BC68" s="13" t="s">
        <v>99</v>
      </c>
      <c r="BD68" s="11" t="str">
        <f>HYPERLINK("http://informatique-m2i.fr","informatique-m2i.fr")</f>
        <v>informatique-m2i.fr</v>
      </c>
      <c r="BE68" s="11" t="str">
        <f>HYPERLINK("http://www.linkedin.com/company/m2i-informatique","http://www.linkedin.com/company/m2i-informatique")</f>
        <v>http://www.linkedin.com/company/m2i-informatique</v>
      </c>
      <c r="BF68" s="16" t="s">
        <v>69</v>
      </c>
      <c r="BG68" s="13" t="s">
        <v>69</v>
      </c>
      <c r="BH68" s="13" t="s">
        <v>69</v>
      </c>
      <c r="BI68" s="13" t="s">
        <v>69</v>
      </c>
      <c r="BJ68" s="15">
        <v>2010</v>
      </c>
      <c r="BK68" s="13" t="s">
        <v>1242</v>
      </c>
      <c r="BL68" s="14">
        <v>45763</v>
      </c>
      <c r="BM68" s="13" t="s">
        <v>69</v>
      </c>
      <c r="BN68" s="13" t="s">
        <v>69</v>
      </c>
      <c r="BO68" s="11" t="str">
        <f>HYPERLINK("https://my.pitchbook.com?c=657365-86","View Company Online")</f>
        <v>View Company Online</v>
      </c>
    </row>
    <row r="69" spans="1:67" x14ac:dyDescent="0.3">
      <c r="A69" s="3" t="s">
        <v>1243</v>
      </c>
      <c r="B69" s="3" t="s">
        <v>1244</v>
      </c>
      <c r="C69" s="3" t="s">
        <v>69</v>
      </c>
      <c r="D69" s="5" t="s">
        <v>69</v>
      </c>
      <c r="E69" s="3" t="s">
        <v>69</v>
      </c>
      <c r="F69" s="3" t="s">
        <v>69</v>
      </c>
      <c r="G69" s="3" t="s">
        <v>69</v>
      </c>
      <c r="H69" s="3" t="s">
        <v>69</v>
      </c>
      <c r="I69" s="4">
        <v>62.37</v>
      </c>
      <c r="J69" s="7">
        <v>-5.77</v>
      </c>
      <c r="K69" s="4" t="s">
        <v>69</v>
      </c>
      <c r="L69" s="4">
        <v>-1.19</v>
      </c>
      <c r="M69" s="4" t="s">
        <v>69</v>
      </c>
      <c r="N69" s="4">
        <v>0.26</v>
      </c>
      <c r="O69" s="4">
        <v>-0.79</v>
      </c>
      <c r="P69" s="4" t="s">
        <v>69</v>
      </c>
      <c r="Q69" s="4">
        <v>0</v>
      </c>
      <c r="R69" s="6" t="s">
        <v>321</v>
      </c>
      <c r="S69" s="3" t="s">
        <v>1245</v>
      </c>
      <c r="T69" s="3" t="s">
        <v>1246</v>
      </c>
      <c r="U69" s="3" t="s">
        <v>1247</v>
      </c>
      <c r="V69" s="3" t="s">
        <v>69</v>
      </c>
      <c r="W69" s="3" t="s">
        <v>1248</v>
      </c>
      <c r="X69" s="3" t="s">
        <v>1249</v>
      </c>
      <c r="Y69" s="3" t="s">
        <v>1250</v>
      </c>
      <c r="Z69" s="3" t="s">
        <v>69</v>
      </c>
      <c r="AA69" s="3" t="s">
        <v>1251</v>
      </c>
      <c r="AB69" s="3" t="s">
        <v>1252</v>
      </c>
      <c r="AC69" s="6" t="s">
        <v>1253</v>
      </c>
      <c r="AD69" s="3" t="s">
        <v>139</v>
      </c>
      <c r="AE69" s="6" t="s">
        <v>1248</v>
      </c>
      <c r="AF69" s="6" t="s">
        <v>1254</v>
      </c>
      <c r="AG69" s="3" t="s">
        <v>69</v>
      </c>
      <c r="AH69" s="3" t="s">
        <v>113</v>
      </c>
      <c r="AI69" s="3" t="s">
        <v>114</v>
      </c>
      <c r="AJ69" s="3" t="s">
        <v>69</v>
      </c>
      <c r="AK69" s="3" t="s">
        <v>69</v>
      </c>
      <c r="AL69" s="3" t="s">
        <v>1255</v>
      </c>
      <c r="AM69" s="3" t="s">
        <v>1256</v>
      </c>
      <c r="AN69" s="3" t="s">
        <v>142</v>
      </c>
      <c r="AO69" s="3" t="s">
        <v>69</v>
      </c>
      <c r="AP69" s="3" t="s">
        <v>1243</v>
      </c>
      <c r="AQ69" s="3" t="s">
        <v>1257</v>
      </c>
      <c r="AR69" s="3" t="s">
        <v>90</v>
      </c>
      <c r="AS69" s="3" t="s">
        <v>121</v>
      </c>
      <c r="AT69" s="3" t="s">
        <v>145</v>
      </c>
      <c r="AU69" s="3" t="s">
        <v>1258</v>
      </c>
      <c r="AV69" s="3" t="s">
        <v>201</v>
      </c>
      <c r="AW69" s="3" t="s">
        <v>1259</v>
      </c>
      <c r="AX69" s="3" t="s">
        <v>69</v>
      </c>
      <c r="AY69" s="3" t="s">
        <v>96</v>
      </c>
      <c r="AZ69" s="8" t="s">
        <v>69</v>
      </c>
      <c r="BA69" s="3" t="s">
        <v>126</v>
      </c>
      <c r="BB69" s="3" t="s">
        <v>98</v>
      </c>
      <c r="BC69" s="3" t="s">
        <v>99</v>
      </c>
      <c r="BD69" s="12" t="str">
        <f>HYPERLINK("http://www.maty.com","www.maty.com")</f>
        <v>www.maty.com</v>
      </c>
      <c r="BE69" s="12" t="str">
        <f>HYPERLINK("http://www.linkedin.com/company/maty-sas","http://www.linkedin.com/company/maty-sas")</f>
        <v>http://www.linkedin.com/company/maty-sas</v>
      </c>
      <c r="BF69" s="9">
        <v>500</v>
      </c>
      <c r="BG69" s="3" t="s">
        <v>1260</v>
      </c>
      <c r="BH69" s="3" t="s">
        <v>69</v>
      </c>
      <c r="BI69" s="3" t="s">
        <v>69</v>
      </c>
      <c r="BJ69" s="10">
        <v>1951</v>
      </c>
      <c r="BK69" s="3" t="s">
        <v>1261</v>
      </c>
      <c r="BL69" s="1">
        <v>45730</v>
      </c>
      <c r="BM69" s="3" t="s">
        <v>69</v>
      </c>
      <c r="BN69" s="3" t="s">
        <v>69</v>
      </c>
      <c r="BO69" s="12" t="str">
        <f>HYPERLINK("https://my.pitchbook.com?c=213575-86","View Company Online")</f>
        <v>View Company Online</v>
      </c>
    </row>
    <row r="70" spans="1:67" x14ac:dyDescent="0.3">
      <c r="A70" s="13" t="s">
        <v>1262</v>
      </c>
      <c r="B70" s="13" t="s">
        <v>1263</v>
      </c>
      <c r="C70" s="13" t="s">
        <v>69</v>
      </c>
      <c r="D70" s="21" t="s">
        <v>69</v>
      </c>
      <c r="E70" s="13" t="s">
        <v>69</v>
      </c>
      <c r="F70" s="13" t="s">
        <v>69</v>
      </c>
      <c r="G70" s="13" t="s">
        <v>69</v>
      </c>
      <c r="H70" s="13" t="s">
        <v>69</v>
      </c>
      <c r="I70" s="19">
        <v>61.69</v>
      </c>
      <c r="J70" s="20">
        <v>11.42</v>
      </c>
      <c r="K70" s="19" t="s">
        <v>69</v>
      </c>
      <c r="L70" s="19">
        <v>4.9400000000000004</v>
      </c>
      <c r="M70" s="19" t="s">
        <v>69</v>
      </c>
      <c r="N70" s="19">
        <v>7.25</v>
      </c>
      <c r="O70" s="19">
        <v>6.38</v>
      </c>
      <c r="P70" s="19" t="s">
        <v>69</v>
      </c>
      <c r="Q70" s="19">
        <v>0</v>
      </c>
      <c r="R70" s="18" t="s">
        <v>152</v>
      </c>
      <c r="S70" s="13" t="s">
        <v>69</v>
      </c>
      <c r="T70" s="13" t="s">
        <v>69</v>
      </c>
      <c r="U70" s="13" t="s">
        <v>69</v>
      </c>
      <c r="V70" s="13" t="s">
        <v>69</v>
      </c>
      <c r="W70" s="13" t="s">
        <v>69</v>
      </c>
      <c r="X70" s="13" t="s">
        <v>1264</v>
      </c>
      <c r="Y70" s="13" t="s">
        <v>1265</v>
      </c>
      <c r="Z70" s="13" t="s">
        <v>69</v>
      </c>
      <c r="AA70" s="13" t="s">
        <v>1266</v>
      </c>
      <c r="AB70" s="13" t="s">
        <v>1015</v>
      </c>
      <c r="AC70" s="18" t="s">
        <v>1267</v>
      </c>
      <c r="AD70" s="13" t="s">
        <v>806</v>
      </c>
      <c r="AE70" s="18" t="s">
        <v>69</v>
      </c>
      <c r="AF70" s="18" t="s">
        <v>69</v>
      </c>
      <c r="AG70" s="13" t="s">
        <v>1268</v>
      </c>
      <c r="AH70" s="13" t="s">
        <v>113</v>
      </c>
      <c r="AI70" s="13" t="s">
        <v>307</v>
      </c>
      <c r="AJ70" s="13" t="s">
        <v>69</v>
      </c>
      <c r="AK70" s="13" t="s">
        <v>69</v>
      </c>
      <c r="AL70" s="13" t="s">
        <v>1269</v>
      </c>
      <c r="AM70" s="13" t="s">
        <v>1270</v>
      </c>
      <c r="AN70" s="13" t="s">
        <v>810</v>
      </c>
      <c r="AO70" s="13" t="s">
        <v>69</v>
      </c>
      <c r="AP70" s="13" t="s">
        <v>1262</v>
      </c>
      <c r="AQ70" s="13" t="s">
        <v>1271</v>
      </c>
      <c r="AR70" s="13" t="s">
        <v>182</v>
      </c>
      <c r="AS70" s="13" t="s">
        <v>313</v>
      </c>
      <c r="AT70" s="13" t="s">
        <v>567</v>
      </c>
      <c r="AU70" s="13" t="s">
        <v>568</v>
      </c>
      <c r="AV70" s="13" t="s">
        <v>69</v>
      </c>
      <c r="AW70" s="13" t="s">
        <v>69</v>
      </c>
      <c r="AX70" s="13" t="s">
        <v>69</v>
      </c>
      <c r="AY70" s="13" t="s">
        <v>96</v>
      </c>
      <c r="AZ70" s="17" t="s">
        <v>69</v>
      </c>
      <c r="BA70" s="13" t="s">
        <v>69</v>
      </c>
      <c r="BB70" s="13" t="s">
        <v>98</v>
      </c>
      <c r="BC70" s="13" t="s">
        <v>99</v>
      </c>
      <c r="BD70" s="11" t="str">
        <f>HYPERLINK("http://citizenmania.it","citizenmania.it")</f>
        <v>citizenmania.it</v>
      </c>
      <c r="BE70" s="13" t="s">
        <v>69</v>
      </c>
      <c r="BF70" s="16">
        <v>32</v>
      </c>
      <c r="BG70" s="13" t="s">
        <v>1272</v>
      </c>
      <c r="BH70" s="13" t="s">
        <v>69</v>
      </c>
      <c r="BI70" s="13" t="s">
        <v>69</v>
      </c>
      <c r="BJ70" s="15">
        <v>1990</v>
      </c>
      <c r="BK70" s="13" t="s">
        <v>69</v>
      </c>
      <c r="BL70" s="14">
        <v>45722</v>
      </c>
      <c r="BM70" s="13" t="s">
        <v>69</v>
      </c>
      <c r="BN70" s="13" t="s">
        <v>69</v>
      </c>
      <c r="BO70" s="11" t="str">
        <f>HYPERLINK("https://my.pitchbook.com?c=598289-32","View Company Online")</f>
        <v>View Company Online</v>
      </c>
    </row>
    <row r="71" spans="1:67" x14ac:dyDescent="0.3">
      <c r="A71" s="3" t="s">
        <v>1273</v>
      </c>
      <c r="B71" s="3" t="s">
        <v>1274</v>
      </c>
      <c r="C71" s="3" t="s">
        <v>69</v>
      </c>
      <c r="D71" s="5" t="s">
        <v>69</v>
      </c>
      <c r="E71" s="3" t="s">
        <v>69</v>
      </c>
      <c r="F71" s="3" t="s">
        <v>69</v>
      </c>
      <c r="G71" s="3" t="s">
        <v>69</v>
      </c>
      <c r="H71" s="3" t="s">
        <v>1275</v>
      </c>
      <c r="I71" s="4">
        <v>58.59</v>
      </c>
      <c r="J71" s="7">
        <v>24.12</v>
      </c>
      <c r="K71" s="4" t="s">
        <v>69</v>
      </c>
      <c r="L71" s="4">
        <v>1.53</v>
      </c>
      <c r="M71" s="4" t="s">
        <v>69</v>
      </c>
      <c r="N71" s="4" t="s">
        <v>69</v>
      </c>
      <c r="O71" s="4" t="s">
        <v>69</v>
      </c>
      <c r="P71" s="4" t="s">
        <v>69</v>
      </c>
      <c r="Q71" s="4" t="s">
        <v>69</v>
      </c>
      <c r="R71" s="6" t="s">
        <v>230</v>
      </c>
      <c r="S71" s="3" t="s">
        <v>1276</v>
      </c>
      <c r="T71" s="3" t="s">
        <v>1277</v>
      </c>
      <c r="U71" s="3" t="s">
        <v>1278</v>
      </c>
      <c r="V71" s="3" t="s">
        <v>69</v>
      </c>
      <c r="W71" s="3" t="s">
        <v>1279</v>
      </c>
      <c r="X71" s="3" t="s">
        <v>284</v>
      </c>
      <c r="Y71" s="3" t="s">
        <v>1280</v>
      </c>
      <c r="Z71" s="3" t="s">
        <v>1281</v>
      </c>
      <c r="AA71" s="3" t="s">
        <v>287</v>
      </c>
      <c r="AB71" s="3" t="s">
        <v>69</v>
      </c>
      <c r="AC71" s="6" t="s">
        <v>1282</v>
      </c>
      <c r="AD71" s="3" t="s">
        <v>289</v>
      </c>
      <c r="AE71" s="6" t="s">
        <v>1279</v>
      </c>
      <c r="AF71" s="6" t="s">
        <v>1283</v>
      </c>
      <c r="AG71" s="3" t="s">
        <v>1284</v>
      </c>
      <c r="AH71" s="3" t="s">
        <v>83</v>
      </c>
      <c r="AI71" s="3" t="s">
        <v>84</v>
      </c>
      <c r="AJ71" s="3" t="s">
        <v>69</v>
      </c>
      <c r="AK71" s="3" t="s">
        <v>1285</v>
      </c>
      <c r="AL71" s="3" t="s">
        <v>1286</v>
      </c>
      <c r="AM71" s="3" t="s">
        <v>69</v>
      </c>
      <c r="AN71" s="3" t="s">
        <v>69</v>
      </c>
      <c r="AO71" s="3" t="s">
        <v>69</v>
      </c>
      <c r="AP71" s="3" t="s">
        <v>1273</v>
      </c>
      <c r="AQ71" s="3" t="s">
        <v>1287</v>
      </c>
      <c r="AR71" s="3" t="s">
        <v>90</v>
      </c>
      <c r="AS71" s="3" t="s">
        <v>121</v>
      </c>
      <c r="AT71" s="3" t="s">
        <v>166</v>
      </c>
      <c r="AU71" s="3" t="s">
        <v>1288</v>
      </c>
      <c r="AV71" s="3" t="s">
        <v>69</v>
      </c>
      <c r="AW71" s="3" t="s">
        <v>1289</v>
      </c>
      <c r="AX71" s="3" t="s">
        <v>69</v>
      </c>
      <c r="AY71" s="3" t="s">
        <v>875</v>
      </c>
      <c r="AZ71" s="8" t="s">
        <v>69</v>
      </c>
      <c r="BA71" s="3" t="s">
        <v>126</v>
      </c>
      <c r="BB71" s="3" t="s">
        <v>98</v>
      </c>
      <c r="BC71" s="3" t="s">
        <v>356</v>
      </c>
      <c r="BD71" s="12" t="str">
        <f>HYPERLINK("http://www.watch7.jp","www.watch7.jp")</f>
        <v>www.watch7.jp</v>
      </c>
      <c r="BE71" s="3" t="s">
        <v>69</v>
      </c>
      <c r="BF71" s="9" t="s">
        <v>69</v>
      </c>
      <c r="BG71" s="3" t="s">
        <v>69</v>
      </c>
      <c r="BH71" s="3" t="s">
        <v>69</v>
      </c>
      <c r="BI71" s="3" t="s">
        <v>69</v>
      </c>
      <c r="BJ71" s="10">
        <v>2022</v>
      </c>
      <c r="BK71" s="3" t="s">
        <v>69</v>
      </c>
      <c r="BL71" s="1">
        <v>45727</v>
      </c>
      <c r="BM71" s="3" t="s">
        <v>69</v>
      </c>
      <c r="BN71" s="3" t="s">
        <v>69</v>
      </c>
      <c r="BO71" s="12" t="str">
        <f>HYPERLINK("https://my.pitchbook.com?c=756760-78","View Company Online")</f>
        <v>View Company Online</v>
      </c>
    </row>
    <row r="72" spans="1:67" x14ac:dyDescent="0.3">
      <c r="A72" s="13" t="s">
        <v>1290</v>
      </c>
      <c r="B72" s="13" t="s">
        <v>1291</v>
      </c>
      <c r="C72" s="13" t="s">
        <v>69</v>
      </c>
      <c r="D72" s="21" t="s">
        <v>69</v>
      </c>
      <c r="E72" s="13" t="s">
        <v>69</v>
      </c>
      <c r="F72" s="13" t="s">
        <v>69</v>
      </c>
      <c r="G72" s="13" t="s">
        <v>69</v>
      </c>
      <c r="H72" s="13" t="s">
        <v>69</v>
      </c>
      <c r="I72" s="19">
        <v>58.39</v>
      </c>
      <c r="J72" s="20">
        <v>10.16</v>
      </c>
      <c r="K72" s="19" t="s">
        <v>69</v>
      </c>
      <c r="L72" s="19">
        <v>7.8</v>
      </c>
      <c r="M72" s="19" t="s">
        <v>69</v>
      </c>
      <c r="N72" s="19">
        <v>9.6199999999999992</v>
      </c>
      <c r="O72" s="19">
        <v>9.3000000000000007</v>
      </c>
      <c r="P72" s="19" t="s">
        <v>69</v>
      </c>
      <c r="Q72" s="19">
        <v>0</v>
      </c>
      <c r="R72" s="18" t="s">
        <v>152</v>
      </c>
      <c r="S72" s="13" t="s">
        <v>1292</v>
      </c>
      <c r="T72" s="13" t="s">
        <v>1293</v>
      </c>
      <c r="U72" s="13" t="s">
        <v>73</v>
      </c>
      <c r="V72" s="13" t="s">
        <v>1294</v>
      </c>
      <c r="W72" s="13" t="s">
        <v>1295</v>
      </c>
      <c r="X72" s="13" t="s">
        <v>1296</v>
      </c>
      <c r="Y72" s="13" t="s">
        <v>1297</v>
      </c>
      <c r="Z72" s="13" t="s">
        <v>69</v>
      </c>
      <c r="AA72" s="13" t="s">
        <v>1298</v>
      </c>
      <c r="AB72" s="13" t="s">
        <v>69</v>
      </c>
      <c r="AC72" s="18" t="s">
        <v>69</v>
      </c>
      <c r="AD72" s="13" t="s">
        <v>901</v>
      </c>
      <c r="AE72" s="18" t="s">
        <v>1299</v>
      </c>
      <c r="AF72" s="18" t="s">
        <v>69</v>
      </c>
      <c r="AG72" s="13" t="s">
        <v>69</v>
      </c>
      <c r="AH72" s="13" t="s">
        <v>113</v>
      </c>
      <c r="AI72" s="13" t="s">
        <v>902</v>
      </c>
      <c r="AJ72" s="13" t="s">
        <v>69</v>
      </c>
      <c r="AK72" s="13" t="s">
        <v>1300</v>
      </c>
      <c r="AL72" s="13" t="s">
        <v>1301</v>
      </c>
      <c r="AM72" s="13" t="s">
        <v>1302</v>
      </c>
      <c r="AN72" s="13" t="s">
        <v>905</v>
      </c>
      <c r="AO72" s="13" t="s">
        <v>69</v>
      </c>
      <c r="AP72" s="13" t="s">
        <v>1290</v>
      </c>
      <c r="AQ72" s="13" t="s">
        <v>1303</v>
      </c>
      <c r="AR72" s="13" t="s">
        <v>90</v>
      </c>
      <c r="AS72" s="13" t="s">
        <v>337</v>
      </c>
      <c r="AT72" s="13" t="s">
        <v>812</v>
      </c>
      <c r="AU72" s="13" t="s">
        <v>907</v>
      </c>
      <c r="AV72" s="13" t="s">
        <v>69</v>
      </c>
      <c r="AW72" s="13" t="s">
        <v>1304</v>
      </c>
      <c r="AX72" s="13" t="s">
        <v>69</v>
      </c>
      <c r="AY72" s="13" t="s">
        <v>96</v>
      </c>
      <c r="AZ72" s="17" t="s">
        <v>69</v>
      </c>
      <c r="BA72" s="13" t="s">
        <v>126</v>
      </c>
      <c r="BB72" s="13" t="s">
        <v>98</v>
      </c>
      <c r="BC72" s="13" t="s">
        <v>99</v>
      </c>
      <c r="BD72" s="11" t="str">
        <f>HYPERLINK("http://www.nymansur.com","www.nymansur.com")</f>
        <v>www.nymansur.com</v>
      </c>
      <c r="BE72" s="11" t="str">
        <f>HYPERLINK("http://www.linkedin.com/company/nymans-ur-1851","http://www.linkedin.com/company/nymans-ur-1851")</f>
        <v>http://www.linkedin.com/company/nymans-ur-1851</v>
      </c>
      <c r="BF72" s="16">
        <v>63</v>
      </c>
      <c r="BG72" s="13" t="s">
        <v>1305</v>
      </c>
      <c r="BH72" s="13" t="s">
        <v>69</v>
      </c>
      <c r="BI72" s="13" t="s">
        <v>69</v>
      </c>
      <c r="BJ72" s="15">
        <v>1850</v>
      </c>
      <c r="BK72" s="13" t="s">
        <v>69</v>
      </c>
      <c r="BL72" s="14">
        <v>44683</v>
      </c>
      <c r="BM72" s="13" t="s">
        <v>69</v>
      </c>
      <c r="BN72" s="13" t="s">
        <v>69</v>
      </c>
      <c r="BO72" s="11" t="str">
        <f>HYPERLINK("https://my.pitchbook.com?c=340953-13","View Company Online")</f>
        <v>View Company Online</v>
      </c>
    </row>
    <row r="73" spans="1:67" x14ac:dyDescent="0.3">
      <c r="A73" s="3" t="s">
        <v>1306</v>
      </c>
      <c r="B73" s="3" t="s">
        <v>1307</v>
      </c>
      <c r="C73" s="3" t="s">
        <v>69</v>
      </c>
      <c r="D73" s="5" t="s">
        <v>69</v>
      </c>
      <c r="E73" s="3" t="s">
        <v>69</v>
      </c>
      <c r="F73" s="3" t="s">
        <v>69</v>
      </c>
      <c r="G73" s="3" t="s">
        <v>69</v>
      </c>
      <c r="H73" s="3" t="s">
        <v>1308</v>
      </c>
      <c r="I73" s="4">
        <v>57.64</v>
      </c>
      <c r="J73" s="7">
        <v>8183.96</v>
      </c>
      <c r="K73" s="4" t="s">
        <v>69</v>
      </c>
      <c r="L73" s="4">
        <v>2.14</v>
      </c>
      <c r="M73" s="4" t="s">
        <v>69</v>
      </c>
      <c r="N73" s="4">
        <v>15.83</v>
      </c>
      <c r="O73" s="4">
        <v>14.93</v>
      </c>
      <c r="P73" s="4" t="s">
        <v>69</v>
      </c>
      <c r="Q73" s="4">
        <v>0</v>
      </c>
      <c r="R73" s="6" t="s">
        <v>1309</v>
      </c>
      <c r="S73" s="3" t="s">
        <v>1310</v>
      </c>
      <c r="T73" s="3" t="s">
        <v>1311</v>
      </c>
      <c r="U73" s="3" t="s">
        <v>73</v>
      </c>
      <c r="V73" s="3" t="s">
        <v>1312</v>
      </c>
      <c r="W73" s="3" t="s">
        <v>1313</v>
      </c>
      <c r="X73" s="3" t="s">
        <v>1314</v>
      </c>
      <c r="Y73" s="3" t="s">
        <v>1315</v>
      </c>
      <c r="Z73" s="3" t="s">
        <v>1316</v>
      </c>
      <c r="AA73" s="3" t="s">
        <v>1317</v>
      </c>
      <c r="AB73" s="3" t="s">
        <v>69</v>
      </c>
      <c r="AC73" s="6" t="s">
        <v>1318</v>
      </c>
      <c r="AD73" s="3" t="s">
        <v>219</v>
      </c>
      <c r="AE73" s="6" t="s">
        <v>1319</v>
      </c>
      <c r="AF73" s="6" t="s">
        <v>1320</v>
      </c>
      <c r="AG73" s="3" t="s">
        <v>1321</v>
      </c>
      <c r="AH73" s="3" t="s">
        <v>83</v>
      </c>
      <c r="AI73" s="3" t="s">
        <v>220</v>
      </c>
      <c r="AJ73" s="3" t="s">
        <v>69</v>
      </c>
      <c r="AK73" s="3" t="s">
        <v>1322</v>
      </c>
      <c r="AL73" s="3" t="s">
        <v>1323</v>
      </c>
      <c r="AM73" s="3" t="s">
        <v>1324</v>
      </c>
      <c r="AN73" s="3" t="s">
        <v>224</v>
      </c>
      <c r="AO73" s="3" t="s">
        <v>1325</v>
      </c>
      <c r="AP73" s="3" t="s">
        <v>1306</v>
      </c>
      <c r="AQ73" s="3" t="s">
        <v>1326</v>
      </c>
      <c r="AR73" s="3" t="s">
        <v>398</v>
      </c>
      <c r="AS73" s="3" t="s">
        <v>1327</v>
      </c>
      <c r="AT73" s="3" t="s">
        <v>1328</v>
      </c>
      <c r="AU73" s="3" t="s">
        <v>1329</v>
      </c>
      <c r="AV73" s="3" t="s">
        <v>1330</v>
      </c>
      <c r="AW73" s="3" t="s">
        <v>1331</v>
      </c>
      <c r="AX73" s="3" t="s">
        <v>69</v>
      </c>
      <c r="AY73" s="3" t="s">
        <v>355</v>
      </c>
      <c r="AZ73" s="8" t="s">
        <v>69</v>
      </c>
      <c r="BA73" s="3" t="s">
        <v>126</v>
      </c>
      <c r="BB73" s="3" t="s">
        <v>98</v>
      </c>
      <c r="BC73" s="3" t="s">
        <v>356</v>
      </c>
      <c r="BD73" s="12" t="str">
        <f>HYPERLINK("http://www.religareonline.com","www.religareonline.com")</f>
        <v>www.religareonline.com</v>
      </c>
      <c r="BE73" s="12" t="str">
        <f>HYPERLINK("http://www.linkedin.com/company/religare-broking-ltd","http://www.linkedin.com/company/religare-broking-ltd")</f>
        <v>http://www.linkedin.com/company/religare-broking-ltd</v>
      </c>
      <c r="BF73" s="9" t="s">
        <v>69</v>
      </c>
      <c r="BG73" s="3" t="s">
        <v>69</v>
      </c>
      <c r="BH73" s="3" t="s">
        <v>69</v>
      </c>
      <c r="BI73" s="3" t="s">
        <v>69</v>
      </c>
      <c r="BJ73" s="10">
        <v>1994</v>
      </c>
      <c r="BK73" s="3" t="s">
        <v>1332</v>
      </c>
      <c r="BL73" s="1">
        <v>45712</v>
      </c>
      <c r="BM73" s="3" t="s">
        <v>69</v>
      </c>
      <c r="BN73" s="3" t="s">
        <v>69</v>
      </c>
      <c r="BO73" s="12" t="str">
        <f>HYPERLINK("https://my.pitchbook.com?c=118208-08","View Company Online")</f>
        <v>View Company Online</v>
      </c>
    </row>
    <row r="74" spans="1:67" x14ac:dyDescent="0.3">
      <c r="A74" s="13" t="s">
        <v>1333</v>
      </c>
      <c r="B74" s="13" t="s">
        <v>1334</v>
      </c>
      <c r="C74" s="13" t="s">
        <v>69</v>
      </c>
      <c r="D74" s="21" t="s">
        <v>69</v>
      </c>
      <c r="E74" s="13" t="s">
        <v>69</v>
      </c>
      <c r="F74" s="13" t="s">
        <v>69</v>
      </c>
      <c r="G74" s="13" t="s">
        <v>69</v>
      </c>
      <c r="H74" s="13" t="s">
        <v>69</v>
      </c>
      <c r="I74" s="19">
        <v>57.28</v>
      </c>
      <c r="J74" s="20" t="s">
        <v>69</v>
      </c>
      <c r="K74" s="19" t="s">
        <v>69</v>
      </c>
      <c r="L74" s="19" t="s">
        <v>69</v>
      </c>
      <c r="M74" s="19" t="s">
        <v>69</v>
      </c>
      <c r="N74" s="19" t="s">
        <v>69</v>
      </c>
      <c r="O74" s="19" t="s">
        <v>69</v>
      </c>
      <c r="P74" s="19" t="s">
        <v>69</v>
      </c>
      <c r="Q74" s="19" t="s">
        <v>69</v>
      </c>
      <c r="R74" s="18" t="s">
        <v>1335</v>
      </c>
      <c r="S74" s="13" t="s">
        <v>1336</v>
      </c>
      <c r="T74" s="13" t="s">
        <v>1337</v>
      </c>
      <c r="U74" s="13" t="s">
        <v>233</v>
      </c>
      <c r="V74" s="13" t="s">
        <v>1338</v>
      </c>
      <c r="W74" s="13" t="s">
        <v>1339</v>
      </c>
      <c r="X74" s="13" t="s">
        <v>1340</v>
      </c>
      <c r="Y74" s="13" t="s">
        <v>1341</v>
      </c>
      <c r="Z74" s="13" t="s">
        <v>69</v>
      </c>
      <c r="AA74" s="13" t="s">
        <v>1342</v>
      </c>
      <c r="AB74" s="13" t="s">
        <v>1343</v>
      </c>
      <c r="AC74" s="18" t="s">
        <v>1344</v>
      </c>
      <c r="AD74" s="13" t="s">
        <v>177</v>
      </c>
      <c r="AE74" s="18" t="s">
        <v>1339</v>
      </c>
      <c r="AF74" s="18" t="s">
        <v>69</v>
      </c>
      <c r="AG74" s="13" t="s">
        <v>69</v>
      </c>
      <c r="AH74" s="13" t="s">
        <v>178</v>
      </c>
      <c r="AI74" s="13" t="s">
        <v>179</v>
      </c>
      <c r="AJ74" s="13" t="s">
        <v>69</v>
      </c>
      <c r="AK74" s="13" t="s">
        <v>69</v>
      </c>
      <c r="AL74" s="13" t="s">
        <v>1345</v>
      </c>
      <c r="AM74" s="13" t="s">
        <v>69</v>
      </c>
      <c r="AN74" s="13" t="s">
        <v>69</v>
      </c>
      <c r="AO74" s="13" t="s">
        <v>1346</v>
      </c>
      <c r="AP74" s="13" t="s">
        <v>1333</v>
      </c>
      <c r="AQ74" s="13" t="s">
        <v>1347</v>
      </c>
      <c r="AR74" s="13" t="s">
        <v>90</v>
      </c>
      <c r="AS74" s="13" t="s">
        <v>121</v>
      </c>
      <c r="AT74" s="13" t="s">
        <v>166</v>
      </c>
      <c r="AU74" s="13" t="s">
        <v>1348</v>
      </c>
      <c r="AV74" s="13" t="s">
        <v>201</v>
      </c>
      <c r="AW74" s="13" t="s">
        <v>1349</v>
      </c>
      <c r="AX74" s="13" t="s">
        <v>69</v>
      </c>
      <c r="AY74" s="13" t="s">
        <v>96</v>
      </c>
      <c r="AZ74" s="17" t="s">
        <v>69</v>
      </c>
      <c r="BA74" s="13" t="s">
        <v>1350</v>
      </c>
      <c r="BB74" s="13" t="s">
        <v>98</v>
      </c>
      <c r="BC74" s="13" t="s">
        <v>99</v>
      </c>
      <c r="BD74" s="11" t="str">
        <f>HYPERLINK("http://www.casio.com","www.casio.com")</f>
        <v>www.casio.com</v>
      </c>
      <c r="BE74" s="11" t="str">
        <f>HYPERLINK("http://www.linkedin.com/company/casio-usa","http://www.linkedin.com/company/casio-usa")</f>
        <v>http://www.linkedin.com/company/casio-usa</v>
      </c>
      <c r="BF74" s="16">
        <v>494</v>
      </c>
      <c r="BG74" s="13" t="s">
        <v>1351</v>
      </c>
      <c r="BH74" s="13" t="s">
        <v>69</v>
      </c>
      <c r="BI74" s="13" t="s">
        <v>69</v>
      </c>
      <c r="BJ74" s="15">
        <v>1957</v>
      </c>
      <c r="BK74" s="13" t="s">
        <v>69</v>
      </c>
      <c r="BL74" s="14">
        <v>45737</v>
      </c>
      <c r="BM74" s="13" t="s">
        <v>69</v>
      </c>
      <c r="BN74" s="13" t="s">
        <v>69</v>
      </c>
      <c r="BO74" s="11" t="str">
        <f>HYPERLINK("https://my.pitchbook.com?c=464169-79","View Company Online")</f>
        <v>View Company Online</v>
      </c>
    </row>
    <row r="75" spans="1:67" x14ac:dyDescent="0.3">
      <c r="A75" s="3" t="s">
        <v>1352</v>
      </c>
      <c r="B75" s="3" t="s">
        <v>1353</v>
      </c>
      <c r="C75" s="3" t="s">
        <v>69</v>
      </c>
      <c r="D75" s="5" t="s">
        <v>69</v>
      </c>
      <c r="E75" s="3" t="s">
        <v>69</v>
      </c>
      <c r="F75" s="3" t="s">
        <v>69</v>
      </c>
      <c r="G75" s="3" t="s">
        <v>69</v>
      </c>
      <c r="H75" s="3" t="s">
        <v>69</v>
      </c>
      <c r="I75" s="4">
        <v>56.08</v>
      </c>
      <c r="J75" s="7">
        <v>47.69</v>
      </c>
      <c r="K75" s="4">
        <v>15.52</v>
      </c>
      <c r="L75" s="4">
        <v>4.63</v>
      </c>
      <c r="M75" s="4" t="s">
        <v>69</v>
      </c>
      <c r="N75" s="4">
        <v>6.43</v>
      </c>
      <c r="O75" s="4">
        <v>6.11</v>
      </c>
      <c r="P75" s="4" t="s">
        <v>69</v>
      </c>
      <c r="Q75" s="4">
        <v>0</v>
      </c>
      <c r="R75" s="6" t="s">
        <v>152</v>
      </c>
      <c r="S75" s="3" t="s">
        <v>1354</v>
      </c>
      <c r="T75" s="3" t="s">
        <v>1355</v>
      </c>
      <c r="U75" s="3" t="s">
        <v>1356</v>
      </c>
      <c r="V75" s="3" t="s">
        <v>1357</v>
      </c>
      <c r="W75" s="3" t="s">
        <v>69</v>
      </c>
      <c r="X75" s="3" t="s">
        <v>1358</v>
      </c>
      <c r="Y75" s="3" t="s">
        <v>1359</v>
      </c>
      <c r="Z75" s="3" t="s">
        <v>69</v>
      </c>
      <c r="AA75" s="3" t="s">
        <v>1360</v>
      </c>
      <c r="AB75" s="3" t="s">
        <v>110</v>
      </c>
      <c r="AC75" s="6" t="s">
        <v>1361</v>
      </c>
      <c r="AD75" s="3" t="s">
        <v>112</v>
      </c>
      <c r="AE75" s="6" t="s">
        <v>69</v>
      </c>
      <c r="AF75" s="6" t="s">
        <v>69</v>
      </c>
      <c r="AG75" s="3" t="s">
        <v>1362</v>
      </c>
      <c r="AH75" s="3" t="s">
        <v>113</v>
      </c>
      <c r="AI75" s="3" t="s">
        <v>114</v>
      </c>
      <c r="AJ75" s="3" t="s">
        <v>69</v>
      </c>
      <c r="AK75" s="3" t="s">
        <v>1363</v>
      </c>
      <c r="AL75" s="3" t="s">
        <v>1364</v>
      </c>
      <c r="AM75" s="3" t="s">
        <v>1365</v>
      </c>
      <c r="AN75" s="3" t="s">
        <v>118</v>
      </c>
      <c r="AO75" s="3" t="s">
        <v>69</v>
      </c>
      <c r="AP75" s="3" t="s">
        <v>1352</v>
      </c>
      <c r="AQ75" s="3" t="s">
        <v>1366</v>
      </c>
      <c r="AR75" s="3" t="s">
        <v>90</v>
      </c>
      <c r="AS75" s="3" t="s">
        <v>121</v>
      </c>
      <c r="AT75" s="3" t="s">
        <v>166</v>
      </c>
      <c r="AU75" s="3" t="s">
        <v>1367</v>
      </c>
      <c r="AV75" s="3" t="s">
        <v>340</v>
      </c>
      <c r="AW75" s="3" t="s">
        <v>1368</v>
      </c>
      <c r="AX75" s="3" t="s">
        <v>69</v>
      </c>
      <c r="AY75" s="3" t="s">
        <v>96</v>
      </c>
      <c r="AZ75" s="8" t="s">
        <v>69</v>
      </c>
      <c r="BA75" s="3" t="s">
        <v>126</v>
      </c>
      <c r="BB75" s="3" t="s">
        <v>98</v>
      </c>
      <c r="BC75" s="3" t="s">
        <v>99</v>
      </c>
      <c r="BD75" s="12" t="str">
        <f>HYPERLINK("http://www.abbottlyon.com","www.abbottlyon.com")</f>
        <v>www.abbottlyon.com</v>
      </c>
      <c r="BE75" s="12" t="str">
        <f>HYPERLINK("http://www.linkedin.com/company/abbott-lyon","http://www.linkedin.com/company/abbott-lyon")</f>
        <v>http://www.linkedin.com/company/abbott-lyon</v>
      </c>
      <c r="BF75" s="9">
        <v>191</v>
      </c>
      <c r="BG75" s="3" t="s">
        <v>1369</v>
      </c>
      <c r="BH75" s="3" t="s">
        <v>69</v>
      </c>
      <c r="BI75" s="3" t="s">
        <v>69</v>
      </c>
      <c r="BJ75" s="10">
        <v>2014</v>
      </c>
      <c r="BK75" s="3" t="s">
        <v>69</v>
      </c>
      <c r="BL75" s="1">
        <v>45675</v>
      </c>
      <c r="BM75" s="3" t="s">
        <v>69</v>
      </c>
      <c r="BN75" s="3" t="s">
        <v>69</v>
      </c>
      <c r="BO75" s="12" t="str">
        <f>HYPERLINK("https://my.pitchbook.com?c=498081-16","View Company Online")</f>
        <v>View Company Online</v>
      </c>
    </row>
    <row r="76" spans="1:67" x14ac:dyDescent="0.3">
      <c r="A76" s="13" t="s">
        <v>1370</v>
      </c>
      <c r="B76" s="13" t="s">
        <v>1371</v>
      </c>
      <c r="C76" s="13" t="s">
        <v>69</v>
      </c>
      <c r="D76" s="21" t="s">
        <v>69</v>
      </c>
      <c r="E76" s="13" t="s">
        <v>69</v>
      </c>
      <c r="F76" s="13" t="s">
        <v>69</v>
      </c>
      <c r="G76" s="13" t="s">
        <v>69</v>
      </c>
      <c r="H76" s="13" t="s">
        <v>69</v>
      </c>
      <c r="I76" s="19">
        <v>54.73</v>
      </c>
      <c r="J76" s="20">
        <v>1.34</v>
      </c>
      <c r="K76" s="19" t="s">
        <v>69</v>
      </c>
      <c r="L76" s="19">
        <v>0.91</v>
      </c>
      <c r="M76" s="19" t="s">
        <v>69</v>
      </c>
      <c r="N76" s="19">
        <v>2.0299999999999998</v>
      </c>
      <c r="O76" s="19">
        <v>1.52</v>
      </c>
      <c r="P76" s="19" t="s">
        <v>69</v>
      </c>
      <c r="Q76" s="19">
        <v>3.31</v>
      </c>
      <c r="R76" s="18" t="s">
        <v>70</v>
      </c>
      <c r="S76" s="13" t="s">
        <v>1372</v>
      </c>
      <c r="T76" s="13" t="s">
        <v>1373</v>
      </c>
      <c r="U76" s="13" t="s">
        <v>298</v>
      </c>
      <c r="V76" s="13" t="s">
        <v>1374</v>
      </c>
      <c r="W76" s="13" t="s">
        <v>1375</v>
      </c>
      <c r="X76" s="13" t="s">
        <v>1376</v>
      </c>
      <c r="Y76" s="13" t="s">
        <v>1377</v>
      </c>
      <c r="Z76" s="13" t="s">
        <v>69</v>
      </c>
      <c r="AA76" s="13" t="s">
        <v>1378</v>
      </c>
      <c r="AB76" s="13" t="s">
        <v>1379</v>
      </c>
      <c r="AC76" s="18" t="s">
        <v>1380</v>
      </c>
      <c r="AD76" s="13" t="s">
        <v>445</v>
      </c>
      <c r="AE76" s="18" t="s">
        <v>1375</v>
      </c>
      <c r="AF76" s="18" t="s">
        <v>1381</v>
      </c>
      <c r="AG76" s="13" t="s">
        <v>1382</v>
      </c>
      <c r="AH76" s="13" t="s">
        <v>113</v>
      </c>
      <c r="AI76" s="13" t="s">
        <v>114</v>
      </c>
      <c r="AJ76" s="13" t="s">
        <v>69</v>
      </c>
      <c r="AK76" s="13" t="s">
        <v>69</v>
      </c>
      <c r="AL76" s="13" t="s">
        <v>1383</v>
      </c>
      <c r="AM76" s="13" t="s">
        <v>1384</v>
      </c>
      <c r="AN76" s="13" t="s">
        <v>1385</v>
      </c>
      <c r="AO76" s="13" t="s">
        <v>69</v>
      </c>
      <c r="AP76" s="13" t="s">
        <v>1370</v>
      </c>
      <c r="AQ76" s="13" t="s">
        <v>1386</v>
      </c>
      <c r="AR76" s="13" t="s">
        <v>372</v>
      </c>
      <c r="AS76" s="13" t="s">
        <v>1387</v>
      </c>
      <c r="AT76" s="13" t="s">
        <v>1388</v>
      </c>
      <c r="AU76" s="13" t="s">
        <v>1389</v>
      </c>
      <c r="AV76" s="13" t="s">
        <v>201</v>
      </c>
      <c r="AW76" s="13" t="s">
        <v>1390</v>
      </c>
      <c r="AX76" s="13" t="s">
        <v>69</v>
      </c>
      <c r="AY76" s="13" t="s">
        <v>96</v>
      </c>
      <c r="AZ76" s="17" t="s">
        <v>69</v>
      </c>
      <c r="BA76" s="13" t="s">
        <v>126</v>
      </c>
      <c r="BB76" s="13" t="s">
        <v>98</v>
      </c>
      <c r="BC76" s="13" t="s">
        <v>99</v>
      </c>
      <c r="BD76" s="11" t="str">
        <f>HYPERLINK("http://www.werth.de","www.werth.de")</f>
        <v>www.werth.de</v>
      </c>
      <c r="BE76" s="11" t="str">
        <f>HYPERLINK("http://www.linkedin.com/company/werth-messtechnik-gmbh","http://www.linkedin.com/company/werth-messtechnik-gmbh")</f>
        <v>http://www.linkedin.com/company/werth-messtechnik-gmbh</v>
      </c>
      <c r="BF76" s="16">
        <v>400</v>
      </c>
      <c r="BG76" s="13" t="s">
        <v>1391</v>
      </c>
      <c r="BH76" s="13" t="s">
        <v>69</v>
      </c>
      <c r="BI76" s="13" t="s">
        <v>69</v>
      </c>
      <c r="BJ76" s="15">
        <v>1951</v>
      </c>
      <c r="BK76" s="13" t="s">
        <v>1392</v>
      </c>
      <c r="BL76" s="14">
        <v>45738</v>
      </c>
      <c r="BM76" s="13" t="s">
        <v>69</v>
      </c>
      <c r="BN76" s="13" t="s">
        <v>69</v>
      </c>
      <c r="BO76" s="11" t="str">
        <f>HYPERLINK("https://my.pitchbook.com?c=229305-07","View Company Online")</f>
        <v>View Company Online</v>
      </c>
    </row>
    <row r="77" spans="1:67" x14ac:dyDescent="0.3">
      <c r="A77" s="3" t="s">
        <v>1393</v>
      </c>
      <c r="B77" s="3" t="s">
        <v>1394</v>
      </c>
      <c r="C77" s="3" t="s">
        <v>69</v>
      </c>
      <c r="D77" s="5" t="s">
        <v>69</v>
      </c>
      <c r="E77" s="3" t="s">
        <v>69</v>
      </c>
      <c r="F77" s="3" t="s">
        <v>69</v>
      </c>
      <c r="G77" s="3" t="s">
        <v>69</v>
      </c>
      <c r="H77" s="3" t="s">
        <v>69</v>
      </c>
      <c r="I77" s="4">
        <v>54.68</v>
      </c>
      <c r="J77" s="7">
        <v>8.2899999999999991</v>
      </c>
      <c r="K77" s="4">
        <v>17.010000000000002</v>
      </c>
      <c r="L77" s="4">
        <v>9.23</v>
      </c>
      <c r="M77" s="4" t="s">
        <v>69</v>
      </c>
      <c r="N77" s="4">
        <v>12.46</v>
      </c>
      <c r="O77" s="4">
        <v>12.33</v>
      </c>
      <c r="P77" s="4" t="s">
        <v>69</v>
      </c>
      <c r="Q77" s="4">
        <v>5.35</v>
      </c>
      <c r="R77" s="6" t="s">
        <v>70</v>
      </c>
      <c r="S77" s="3" t="s">
        <v>1395</v>
      </c>
      <c r="T77" s="3" t="s">
        <v>1396</v>
      </c>
      <c r="U77" s="3" t="s">
        <v>1397</v>
      </c>
      <c r="V77" s="3" t="s">
        <v>1398</v>
      </c>
      <c r="W77" s="3" t="s">
        <v>1399</v>
      </c>
      <c r="X77" s="3" t="s">
        <v>107</v>
      </c>
      <c r="Y77" s="3" t="s">
        <v>1400</v>
      </c>
      <c r="Z77" s="3" t="s">
        <v>69</v>
      </c>
      <c r="AA77" s="3" t="s">
        <v>109</v>
      </c>
      <c r="AB77" s="3" t="s">
        <v>110</v>
      </c>
      <c r="AC77" s="6" t="s">
        <v>1401</v>
      </c>
      <c r="AD77" s="3" t="s">
        <v>112</v>
      </c>
      <c r="AE77" s="6" t="s">
        <v>1399</v>
      </c>
      <c r="AF77" s="6" t="s">
        <v>69</v>
      </c>
      <c r="AG77" s="3" t="s">
        <v>1402</v>
      </c>
      <c r="AH77" s="3" t="s">
        <v>113</v>
      </c>
      <c r="AI77" s="3" t="s">
        <v>114</v>
      </c>
      <c r="AJ77" s="3" t="s">
        <v>1403</v>
      </c>
      <c r="AK77" s="3" t="s">
        <v>69</v>
      </c>
      <c r="AL77" s="3" t="s">
        <v>1404</v>
      </c>
      <c r="AM77" s="3" t="s">
        <v>1405</v>
      </c>
      <c r="AN77" s="3" t="s">
        <v>118</v>
      </c>
      <c r="AO77" s="3" t="s">
        <v>1406</v>
      </c>
      <c r="AP77" s="3" t="s">
        <v>1393</v>
      </c>
      <c r="AQ77" s="3" t="s">
        <v>1407</v>
      </c>
      <c r="AR77" s="3" t="s">
        <v>90</v>
      </c>
      <c r="AS77" s="3" t="s">
        <v>1098</v>
      </c>
      <c r="AT77" s="3" t="s">
        <v>1408</v>
      </c>
      <c r="AU77" s="3" t="s">
        <v>1409</v>
      </c>
      <c r="AV77" s="3" t="s">
        <v>69</v>
      </c>
      <c r="AW77" s="3" t="s">
        <v>1410</v>
      </c>
      <c r="AX77" s="3" t="s">
        <v>69</v>
      </c>
      <c r="AY77" s="3" t="s">
        <v>96</v>
      </c>
      <c r="AZ77" s="8" t="s">
        <v>69</v>
      </c>
      <c r="BA77" s="3" t="s">
        <v>126</v>
      </c>
      <c r="BB77" s="3" t="s">
        <v>98</v>
      </c>
      <c r="BC77" s="3" t="s">
        <v>99</v>
      </c>
      <c r="BD77" s="12" t="str">
        <f>HYPERLINK("http://www.shine.tv","www.shine.tv")</f>
        <v>www.shine.tv</v>
      </c>
      <c r="BE77" s="12" t="str">
        <f>HYPERLINK("http://www.linkedin.com/company/shine-tv","http://www.linkedin.com/company/shine-tv")</f>
        <v>http://www.linkedin.com/company/shine-tv</v>
      </c>
      <c r="BF77" s="9">
        <v>424</v>
      </c>
      <c r="BG77" s="3" t="s">
        <v>1411</v>
      </c>
      <c r="BH77" s="3" t="s">
        <v>69</v>
      </c>
      <c r="BI77" s="3" t="s">
        <v>69</v>
      </c>
      <c r="BJ77" s="10">
        <v>2001</v>
      </c>
      <c r="BK77" s="3" t="s">
        <v>1412</v>
      </c>
      <c r="BL77" s="1">
        <v>45758</v>
      </c>
      <c r="BM77" s="3" t="s">
        <v>69</v>
      </c>
      <c r="BN77" s="3" t="s">
        <v>69</v>
      </c>
      <c r="BO77" s="12" t="str">
        <f>HYPERLINK("https://my.pitchbook.com?c=454995-46","View Company Online")</f>
        <v>View Company Online</v>
      </c>
    </row>
    <row r="78" spans="1:67" x14ac:dyDescent="0.3">
      <c r="A78" s="13" t="s">
        <v>1413</v>
      </c>
      <c r="B78" s="13" t="s">
        <v>1414</v>
      </c>
      <c r="C78" s="13" t="s">
        <v>69</v>
      </c>
      <c r="D78" s="21" t="s">
        <v>69</v>
      </c>
      <c r="E78" s="13" t="s">
        <v>69</v>
      </c>
      <c r="F78" s="13" t="s">
        <v>69</v>
      </c>
      <c r="G78" s="13" t="s">
        <v>69</v>
      </c>
      <c r="H78" s="13" t="s">
        <v>69</v>
      </c>
      <c r="I78" s="19">
        <v>52.19</v>
      </c>
      <c r="J78" s="20">
        <v>2.57</v>
      </c>
      <c r="K78" s="19" t="s">
        <v>69</v>
      </c>
      <c r="L78" s="19">
        <v>4.2300000000000004</v>
      </c>
      <c r="M78" s="19" t="s">
        <v>69</v>
      </c>
      <c r="N78" s="19">
        <v>5.46</v>
      </c>
      <c r="O78" s="19">
        <v>5.46</v>
      </c>
      <c r="P78" s="19" t="s">
        <v>69</v>
      </c>
      <c r="Q78" s="19">
        <v>0</v>
      </c>
      <c r="R78" s="18" t="s">
        <v>70</v>
      </c>
      <c r="S78" s="13" t="s">
        <v>69</v>
      </c>
      <c r="T78" s="13" t="s">
        <v>69</v>
      </c>
      <c r="U78" s="13" t="s">
        <v>69</v>
      </c>
      <c r="V78" s="13" t="s">
        <v>69</v>
      </c>
      <c r="W78" s="13" t="s">
        <v>69</v>
      </c>
      <c r="X78" s="13" t="s">
        <v>1415</v>
      </c>
      <c r="Y78" s="13" t="s">
        <v>1416</v>
      </c>
      <c r="Z78" s="13" t="s">
        <v>69</v>
      </c>
      <c r="AA78" s="13" t="s">
        <v>1417</v>
      </c>
      <c r="AB78" s="13" t="s">
        <v>1417</v>
      </c>
      <c r="AC78" s="18" t="s">
        <v>1418</v>
      </c>
      <c r="AD78" s="13" t="s">
        <v>1419</v>
      </c>
      <c r="AE78" s="18" t="s">
        <v>69</v>
      </c>
      <c r="AF78" s="18" t="s">
        <v>69</v>
      </c>
      <c r="AG78" s="13" t="s">
        <v>69</v>
      </c>
      <c r="AH78" s="13" t="s">
        <v>113</v>
      </c>
      <c r="AI78" s="13" t="s">
        <v>114</v>
      </c>
      <c r="AJ78" s="13" t="s">
        <v>69</v>
      </c>
      <c r="AK78" s="13" t="s">
        <v>1420</v>
      </c>
      <c r="AL78" s="13" t="s">
        <v>69</v>
      </c>
      <c r="AM78" s="13" t="s">
        <v>1421</v>
      </c>
      <c r="AN78" s="13" t="s">
        <v>1422</v>
      </c>
      <c r="AO78" s="13" t="s">
        <v>69</v>
      </c>
      <c r="AP78" s="13" t="s">
        <v>1413</v>
      </c>
      <c r="AQ78" s="13" t="s">
        <v>1423</v>
      </c>
      <c r="AR78" s="13" t="s">
        <v>90</v>
      </c>
      <c r="AS78" s="13" t="s">
        <v>337</v>
      </c>
      <c r="AT78" s="13" t="s">
        <v>812</v>
      </c>
      <c r="AU78" s="13" t="s">
        <v>858</v>
      </c>
      <c r="AV78" s="13" t="s">
        <v>69</v>
      </c>
      <c r="AW78" s="13" t="s">
        <v>69</v>
      </c>
      <c r="AX78" s="13" t="s">
        <v>69</v>
      </c>
      <c r="AY78" s="13" t="s">
        <v>96</v>
      </c>
      <c r="AZ78" s="17" t="s">
        <v>69</v>
      </c>
      <c r="BA78" s="13" t="s">
        <v>69</v>
      </c>
      <c r="BB78" s="13" t="s">
        <v>98</v>
      </c>
      <c r="BC78" s="13" t="s">
        <v>99</v>
      </c>
      <c r="BD78" s="11" t="str">
        <f>HYPERLINK("http://www.bucherer.at","www.bucherer.at")</f>
        <v>www.bucherer.at</v>
      </c>
      <c r="BE78" s="13" t="s">
        <v>69</v>
      </c>
      <c r="BF78" s="16">
        <v>49</v>
      </c>
      <c r="BG78" s="13" t="s">
        <v>1424</v>
      </c>
      <c r="BH78" s="13" t="s">
        <v>69</v>
      </c>
      <c r="BI78" s="13" t="s">
        <v>69</v>
      </c>
      <c r="BJ78" s="15">
        <v>1980</v>
      </c>
      <c r="BK78" s="13" t="s">
        <v>69</v>
      </c>
      <c r="BL78" s="14">
        <v>45648</v>
      </c>
      <c r="BM78" s="13" t="s">
        <v>69</v>
      </c>
      <c r="BN78" s="13" t="s">
        <v>69</v>
      </c>
      <c r="BO78" s="11" t="str">
        <f>HYPERLINK("https://my.pitchbook.com?c=525006-10","View Company Online")</f>
        <v>View Company Online</v>
      </c>
    </row>
    <row r="80" spans="1:67" x14ac:dyDescent="0.3">
      <c r="A80" s="22" t="s">
        <v>1425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heetViews>
  <sheetFormatPr defaultRowHeight="14.4" x14ac:dyDescent="0.3"/>
  <cols>
    <col min="1" max="1" width="10.5546875" customWidth="1"/>
    <col min="2" max="2" width="49.109375" customWidth="1"/>
    <col min="3" max="3" width="27.6640625" customWidth="1"/>
    <col min="4" max="4" width="4.5546875" customWidth="1"/>
    <col min="5" max="5" width="22.109375" customWidth="1"/>
  </cols>
  <sheetData>
    <row r="1" spans="1:5" ht="21" x14ac:dyDescent="0.3">
      <c r="A1" s="23" t="s">
        <v>1426</v>
      </c>
    </row>
    <row r="3" spans="1:5" ht="15" x14ac:dyDescent="0.3">
      <c r="A3" s="24" t="s">
        <v>1427</v>
      </c>
    </row>
    <row r="4" spans="1:5" ht="15" x14ac:dyDescent="0.3">
      <c r="A4" s="25" t="s">
        <v>1428</v>
      </c>
    </row>
    <row r="6" spans="1:5" ht="15" x14ac:dyDescent="0.3">
      <c r="A6" s="24" t="s">
        <v>1429</v>
      </c>
      <c r="C6" s="25" t="s">
        <v>1430</v>
      </c>
      <c r="E6" s="24" t="s">
        <v>1431</v>
      </c>
    </row>
    <row r="8" spans="1:5" ht="15" x14ac:dyDescent="0.3">
      <c r="A8" s="24" t="s">
        <v>1432</v>
      </c>
    </row>
    <row r="9" spans="1:5" ht="15" x14ac:dyDescent="0.3">
      <c r="A9" s="26" t="s">
        <v>1433</v>
      </c>
      <c r="B9" s="24" t="s">
        <v>1434</v>
      </c>
    </row>
    <row r="10" spans="1:5" ht="15" x14ac:dyDescent="0.3">
      <c r="A10" s="26" t="s">
        <v>1435</v>
      </c>
      <c r="B10" s="24" t="s">
        <v>1436</v>
      </c>
    </row>
    <row r="11" spans="1:5" ht="15" x14ac:dyDescent="0.3">
      <c r="A11" s="26" t="s">
        <v>1437</v>
      </c>
      <c r="B11" s="24" t="s">
        <v>1438</v>
      </c>
    </row>
    <row r="13" spans="1:5" ht="15" x14ac:dyDescent="0.3">
      <c r="A13" s="24" t="s">
        <v>1439</v>
      </c>
      <c r="B13" s="25" t="s">
        <v>1428</v>
      </c>
    </row>
    <row r="15" spans="1:5" x14ac:dyDescent="0.3">
      <c r="A15" s="22" t="s">
        <v>1425</v>
      </c>
    </row>
  </sheetData>
  <sheetProtection algorithmName="SHA-512" hashValue="1vaRAf4MAiSkxP542G1AaL7w2CTwSvuRFNqTClU+46jvSTOS/pBEnSe30rbtDmLg+xoyDZDCqYQvucQYC8GNJA==" saltValue="SIga/AfWuJTglGkGJfnwEQ==" spinCount="100000" sheet="1" objects="1" scenarios="1"/>
  <hyperlinks>
    <hyperlink ref="A4" r:id="rId1" xr:uid="{00000000-0004-0000-0100-000000000000}"/>
    <hyperlink ref="C6" r:id="rId2" xr:uid="{00000000-0004-0000-0100-000001000000}"/>
    <hyperlink ref="B13" r:id="rId3" xr:uid="{00000000-0004-0000-01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Raghav Saxena</cp:lastModifiedBy>
  <dcterms:modified xsi:type="dcterms:W3CDTF">2025-04-21T09:08:34Z</dcterms:modified>
</cp:coreProperties>
</file>