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ragha\Downloads\"/>
    </mc:Choice>
  </mc:AlternateContent>
  <xr:revisionPtr revIDLastSave="0" documentId="13_ncr:1_{3750FEE2-7203-4119-A230-1CF456075B53}" xr6:coauthVersionLast="47" xr6:coauthVersionMax="47" xr10:uidLastSave="{00000000-0000-0000-0000-000000000000}"/>
  <bookViews>
    <workbookView xWindow="-108" yWindow="-108" windowWidth="23256" windowHeight="12456" tabRatio="500" xr2:uid="{00000000-000D-0000-FFFF-FFFF00000000}"/>
  </bookViews>
  <sheets>
    <sheet name="Data" sheetId="2" r:id="rId1"/>
    <sheet name="Disclaimer"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206" i="2" l="1"/>
  <c r="BD206" i="2"/>
  <c r="BO205" i="2"/>
  <c r="BE205" i="2"/>
  <c r="BD205" i="2"/>
  <c r="BO204" i="2"/>
  <c r="BD204" i="2"/>
  <c r="BO203" i="2"/>
  <c r="BE203" i="2"/>
  <c r="BD203" i="2"/>
  <c r="BO202" i="2"/>
  <c r="BE202" i="2"/>
  <c r="BD202" i="2"/>
  <c r="BO201" i="2"/>
  <c r="BD201" i="2"/>
  <c r="BO200" i="2"/>
  <c r="BD200" i="2"/>
  <c r="BO199" i="2"/>
  <c r="BE199" i="2"/>
  <c r="BD199" i="2"/>
  <c r="BO198" i="2"/>
  <c r="BE198" i="2"/>
  <c r="BD198" i="2"/>
  <c r="BO197" i="2"/>
  <c r="BE197" i="2"/>
  <c r="BD197" i="2"/>
  <c r="BO196" i="2"/>
  <c r="BE196" i="2"/>
  <c r="BD196" i="2"/>
  <c r="BO195" i="2"/>
  <c r="BE195" i="2"/>
  <c r="BD195" i="2"/>
  <c r="BO194" i="2"/>
  <c r="BE194" i="2"/>
  <c r="BD194" i="2"/>
  <c r="BO193" i="2"/>
  <c r="BE193" i="2"/>
  <c r="BD193" i="2"/>
  <c r="BO192" i="2"/>
  <c r="BE192" i="2"/>
  <c r="BD192" i="2"/>
  <c r="BO191" i="2"/>
  <c r="BE191" i="2"/>
  <c r="BD191" i="2"/>
  <c r="BO190" i="2"/>
  <c r="BE190" i="2"/>
  <c r="BD190" i="2"/>
  <c r="BO189" i="2"/>
  <c r="BE189" i="2"/>
  <c r="BD189" i="2"/>
  <c r="BO188" i="2"/>
  <c r="BE188" i="2"/>
  <c r="BD188" i="2"/>
  <c r="BO187" i="2"/>
  <c r="BE187" i="2"/>
  <c r="BD187" i="2"/>
  <c r="BO186" i="2"/>
  <c r="BE186" i="2"/>
  <c r="BD186" i="2"/>
  <c r="BO185" i="2"/>
  <c r="BE185" i="2"/>
  <c r="BD185" i="2"/>
  <c r="BO184" i="2"/>
  <c r="BE184" i="2"/>
  <c r="BD184" i="2"/>
  <c r="BO183" i="2"/>
  <c r="BD183" i="2"/>
  <c r="BO182" i="2"/>
  <c r="BD182" i="2"/>
  <c r="BO181" i="2"/>
  <c r="BD181" i="2"/>
  <c r="BO180" i="2"/>
  <c r="BD180" i="2"/>
  <c r="BO179" i="2"/>
  <c r="BE179" i="2"/>
  <c r="BD179" i="2"/>
  <c r="BO178" i="2"/>
  <c r="BE178" i="2"/>
  <c r="BD178" i="2"/>
  <c r="BO177" i="2"/>
  <c r="BD177" i="2"/>
  <c r="BO176" i="2"/>
  <c r="BE176" i="2"/>
  <c r="BD176" i="2"/>
  <c r="BO175" i="2"/>
  <c r="BE175" i="2"/>
  <c r="BD175" i="2"/>
  <c r="BO174" i="2"/>
  <c r="BE174" i="2"/>
  <c r="BD174" i="2"/>
  <c r="BO173" i="2"/>
  <c r="BE173" i="2"/>
  <c r="BD173" i="2"/>
  <c r="BO172" i="2"/>
  <c r="BE172" i="2"/>
  <c r="BD172" i="2"/>
  <c r="BO171" i="2"/>
  <c r="BD171" i="2"/>
  <c r="BO170" i="2"/>
  <c r="BE170" i="2"/>
  <c r="BD170" i="2"/>
  <c r="BO169" i="2"/>
  <c r="BE169" i="2"/>
  <c r="BD169" i="2"/>
  <c r="BO168" i="2"/>
  <c r="BE168" i="2"/>
  <c r="BD168" i="2"/>
  <c r="BO167" i="2"/>
  <c r="BE167" i="2"/>
  <c r="BD167" i="2"/>
  <c r="BO166" i="2"/>
  <c r="BE166" i="2"/>
  <c r="BD166" i="2"/>
  <c r="BO165" i="2"/>
  <c r="BD165" i="2"/>
  <c r="BO164" i="2"/>
  <c r="BE164" i="2"/>
  <c r="BD164" i="2"/>
  <c r="BO163" i="2"/>
  <c r="BE163" i="2"/>
  <c r="BD163" i="2"/>
  <c r="BO162" i="2"/>
  <c r="BE162" i="2"/>
  <c r="BD162" i="2"/>
  <c r="BO161" i="2"/>
  <c r="BE161" i="2"/>
  <c r="BD161" i="2"/>
  <c r="BO160" i="2"/>
  <c r="BE160" i="2"/>
  <c r="BD160" i="2"/>
  <c r="BO159" i="2"/>
  <c r="BE159" i="2"/>
  <c r="BD159" i="2"/>
  <c r="BO158" i="2"/>
  <c r="BE158" i="2"/>
  <c r="BD158" i="2"/>
  <c r="BO157" i="2"/>
  <c r="BE157" i="2"/>
  <c r="BD157" i="2"/>
  <c r="BO156" i="2"/>
  <c r="BD156" i="2"/>
  <c r="BO155" i="2"/>
  <c r="BE155" i="2"/>
  <c r="BD155" i="2"/>
  <c r="BO154" i="2"/>
  <c r="BE154" i="2"/>
  <c r="BD154" i="2"/>
  <c r="BO153" i="2"/>
  <c r="BE153" i="2"/>
  <c r="BD153" i="2"/>
  <c r="BO152" i="2"/>
  <c r="BE152" i="2"/>
  <c r="BD152" i="2"/>
  <c r="BO151" i="2"/>
  <c r="BE151" i="2"/>
  <c r="BD151" i="2"/>
  <c r="BO150" i="2"/>
  <c r="BD150" i="2"/>
  <c r="BO149" i="2"/>
  <c r="BD149" i="2"/>
  <c r="BO148" i="2"/>
  <c r="BD148" i="2"/>
  <c r="BO147" i="2"/>
  <c r="BE147" i="2"/>
  <c r="BD147" i="2"/>
  <c r="BO146" i="2"/>
  <c r="BE146" i="2"/>
  <c r="BD146" i="2"/>
  <c r="BO145" i="2"/>
  <c r="BE145" i="2"/>
  <c r="BD145" i="2"/>
  <c r="BO144" i="2"/>
  <c r="BD144" i="2"/>
  <c r="BO143" i="2"/>
  <c r="BE143" i="2"/>
  <c r="BD143" i="2"/>
  <c r="BO142" i="2"/>
  <c r="BE142" i="2"/>
  <c r="BD142" i="2"/>
  <c r="BO141" i="2"/>
  <c r="BE141" i="2"/>
  <c r="BD141" i="2"/>
  <c r="BO140" i="2"/>
  <c r="BE140" i="2"/>
  <c r="BD140" i="2"/>
  <c r="BO139" i="2"/>
  <c r="BE139" i="2"/>
  <c r="BD139" i="2"/>
  <c r="BO138" i="2"/>
  <c r="BE138" i="2"/>
  <c r="BD138" i="2"/>
  <c r="BO137" i="2"/>
  <c r="BD137" i="2"/>
  <c r="BO136" i="2"/>
  <c r="BE136" i="2"/>
  <c r="BD136" i="2"/>
  <c r="BO135" i="2"/>
  <c r="BE135" i="2"/>
  <c r="BD135" i="2"/>
  <c r="BO134" i="2"/>
  <c r="BE134" i="2"/>
  <c r="BD134" i="2"/>
  <c r="BO133" i="2"/>
  <c r="BE133" i="2"/>
  <c r="BD133" i="2"/>
  <c r="BO132" i="2"/>
  <c r="BE132" i="2"/>
  <c r="BD132" i="2"/>
  <c r="BO131" i="2"/>
  <c r="BE131" i="2"/>
  <c r="BD131" i="2"/>
  <c r="BO130" i="2"/>
  <c r="BE130" i="2"/>
  <c r="BD130" i="2"/>
  <c r="BO129" i="2"/>
  <c r="BE129" i="2"/>
  <c r="BD129" i="2"/>
  <c r="BO128" i="2"/>
  <c r="BE128" i="2"/>
  <c r="BD128" i="2"/>
  <c r="BO127" i="2"/>
  <c r="BE127" i="2"/>
  <c r="BD127" i="2"/>
  <c r="BO126" i="2"/>
  <c r="BE126" i="2"/>
  <c r="BD126" i="2"/>
  <c r="BO125" i="2"/>
  <c r="BE125" i="2"/>
  <c r="BD125" i="2"/>
  <c r="BO124" i="2"/>
  <c r="BE124" i="2"/>
  <c r="BD124" i="2"/>
  <c r="BO123" i="2"/>
  <c r="BE123" i="2"/>
  <c r="BD123" i="2"/>
  <c r="BO122" i="2"/>
  <c r="BE122" i="2"/>
  <c r="BD122" i="2"/>
  <c r="BO121" i="2"/>
  <c r="BD121" i="2"/>
  <c r="BO120" i="2"/>
  <c r="BE120" i="2"/>
  <c r="BD120" i="2"/>
  <c r="BO119" i="2"/>
  <c r="BE119" i="2"/>
  <c r="BD119" i="2"/>
  <c r="BO118" i="2"/>
  <c r="BE118" i="2"/>
  <c r="BD118" i="2"/>
  <c r="BO117" i="2"/>
  <c r="BE117" i="2"/>
  <c r="BD117" i="2"/>
  <c r="BO116" i="2"/>
  <c r="BE116" i="2"/>
  <c r="BD116" i="2"/>
  <c r="BO115" i="2"/>
  <c r="BE115" i="2"/>
  <c r="BD115" i="2"/>
  <c r="BO114" i="2"/>
  <c r="BE114" i="2"/>
  <c r="BD114" i="2"/>
  <c r="BO113" i="2"/>
  <c r="BE113" i="2"/>
  <c r="BD113" i="2"/>
  <c r="BO112" i="2"/>
  <c r="BE112" i="2"/>
  <c r="BD112" i="2"/>
  <c r="BO111" i="2"/>
  <c r="BE111" i="2"/>
  <c r="BD111" i="2"/>
  <c r="BO110" i="2"/>
  <c r="BE110" i="2"/>
  <c r="BD110" i="2"/>
  <c r="BO109" i="2"/>
  <c r="BE109" i="2"/>
  <c r="BD109" i="2"/>
  <c r="BO108" i="2"/>
  <c r="BE108" i="2"/>
  <c r="BD108" i="2"/>
  <c r="BO107" i="2"/>
  <c r="BE107" i="2"/>
  <c r="BD107" i="2"/>
  <c r="BO106" i="2"/>
  <c r="BE106" i="2"/>
  <c r="BD106" i="2"/>
  <c r="BO105" i="2"/>
  <c r="BE105" i="2"/>
  <c r="BD105" i="2"/>
  <c r="BO104" i="2"/>
  <c r="BE104" i="2"/>
  <c r="BD104" i="2"/>
  <c r="BO103" i="2"/>
  <c r="BE103" i="2"/>
  <c r="BD103" i="2"/>
  <c r="BO102" i="2"/>
  <c r="BE102" i="2"/>
  <c r="BD102" i="2"/>
  <c r="BO101" i="2"/>
  <c r="BE101" i="2"/>
  <c r="BD101" i="2"/>
  <c r="BO100" i="2"/>
  <c r="BE100" i="2"/>
  <c r="BD100" i="2"/>
  <c r="BO99" i="2"/>
  <c r="BE99" i="2"/>
  <c r="BD99" i="2"/>
  <c r="BO98" i="2"/>
  <c r="BD98" i="2"/>
  <c r="BO97" i="2"/>
  <c r="BE97" i="2"/>
  <c r="BD97" i="2"/>
  <c r="BO96" i="2"/>
  <c r="BE96" i="2"/>
  <c r="BD96" i="2"/>
  <c r="BO95" i="2"/>
  <c r="BD95" i="2"/>
  <c r="BO94" i="2"/>
  <c r="BE94" i="2"/>
  <c r="BD94" i="2"/>
  <c r="BO93" i="2"/>
  <c r="BD93" i="2"/>
  <c r="BO92" i="2"/>
  <c r="BE92" i="2"/>
  <c r="BD92" i="2"/>
  <c r="BO91" i="2"/>
  <c r="BE91" i="2"/>
  <c r="BD91" i="2"/>
  <c r="BO90" i="2"/>
  <c r="BE90" i="2"/>
  <c r="BD90" i="2"/>
  <c r="BO89" i="2"/>
  <c r="BE89" i="2"/>
  <c r="BD89" i="2"/>
  <c r="BO88" i="2"/>
  <c r="BD88" i="2"/>
  <c r="BO87" i="2"/>
  <c r="BE87" i="2"/>
  <c r="BD87" i="2"/>
  <c r="BO86" i="2"/>
  <c r="BE86" i="2"/>
  <c r="BD86" i="2"/>
  <c r="BO85" i="2"/>
  <c r="BE85" i="2"/>
  <c r="BD85" i="2"/>
  <c r="BO84" i="2"/>
  <c r="BE84" i="2"/>
  <c r="BD84" i="2"/>
  <c r="BO83" i="2"/>
  <c r="BE83" i="2"/>
  <c r="BD83" i="2"/>
  <c r="BO82" i="2"/>
  <c r="BE82" i="2"/>
  <c r="BD82" i="2"/>
  <c r="BO81" i="2"/>
  <c r="BE81" i="2"/>
  <c r="BD81" i="2"/>
  <c r="BO80" i="2"/>
  <c r="BE80" i="2"/>
  <c r="BD80" i="2"/>
  <c r="BO79" i="2"/>
  <c r="BE79" i="2"/>
  <c r="BD79" i="2"/>
  <c r="BO78" i="2"/>
  <c r="BE78" i="2"/>
  <c r="BD78" i="2"/>
  <c r="BO77" i="2"/>
  <c r="BE77" i="2"/>
  <c r="BD77" i="2"/>
  <c r="BO76" i="2"/>
  <c r="BE76" i="2"/>
  <c r="BD76" i="2"/>
  <c r="BO75" i="2"/>
  <c r="BE75" i="2"/>
  <c r="BD75" i="2"/>
  <c r="BO74" i="2"/>
  <c r="BE74" i="2"/>
  <c r="BD74" i="2"/>
  <c r="BO73" i="2"/>
  <c r="BE73" i="2"/>
  <c r="BD73" i="2"/>
  <c r="BO72" i="2"/>
  <c r="BE72" i="2"/>
  <c r="BD72" i="2"/>
  <c r="BO71" i="2"/>
  <c r="BE71" i="2"/>
  <c r="BD71" i="2"/>
  <c r="BO70" i="2"/>
  <c r="BE70" i="2"/>
  <c r="BD70" i="2"/>
  <c r="BO69" i="2"/>
  <c r="BE69" i="2"/>
  <c r="BD69" i="2"/>
  <c r="BO68" i="2"/>
  <c r="BE68" i="2"/>
  <c r="BD68" i="2"/>
  <c r="BO67" i="2"/>
  <c r="BE67" i="2"/>
  <c r="BD67" i="2"/>
  <c r="BO66" i="2"/>
  <c r="BE66" i="2"/>
  <c r="BD66" i="2"/>
  <c r="BO65" i="2"/>
  <c r="BE65" i="2"/>
  <c r="BD65" i="2"/>
  <c r="BO64" i="2"/>
  <c r="BE64" i="2"/>
  <c r="BD64" i="2"/>
  <c r="BO63" i="2"/>
  <c r="BD63" i="2"/>
  <c r="BO62" i="2"/>
  <c r="BE62" i="2"/>
  <c r="BD62" i="2"/>
  <c r="BO61" i="2"/>
  <c r="BE61" i="2"/>
  <c r="BD61" i="2"/>
  <c r="BO60" i="2"/>
  <c r="BE60" i="2"/>
  <c r="BD60" i="2"/>
  <c r="BO59" i="2"/>
  <c r="BD59" i="2"/>
  <c r="BO58" i="2"/>
  <c r="BE58" i="2"/>
  <c r="BD58" i="2"/>
  <c r="BO57" i="2"/>
  <c r="BE57" i="2"/>
  <c r="BD57" i="2"/>
  <c r="BO56" i="2"/>
  <c r="BE56" i="2"/>
  <c r="BD56" i="2"/>
  <c r="BO55" i="2"/>
  <c r="BE55" i="2"/>
  <c r="BD55" i="2"/>
  <c r="BO54" i="2"/>
  <c r="BE54" i="2"/>
  <c r="BD54" i="2"/>
  <c r="BO53" i="2"/>
  <c r="BE53" i="2"/>
  <c r="BD53" i="2"/>
  <c r="BO52" i="2"/>
  <c r="BE52" i="2"/>
  <c r="BD52" i="2"/>
  <c r="BO51" i="2"/>
  <c r="BE51" i="2"/>
  <c r="BD51" i="2"/>
  <c r="BO50" i="2"/>
  <c r="BD50" i="2"/>
  <c r="BO49" i="2"/>
  <c r="BE49" i="2"/>
  <c r="BD49" i="2"/>
  <c r="BO48" i="2"/>
  <c r="BE48" i="2"/>
  <c r="BD48" i="2"/>
  <c r="BO47" i="2"/>
  <c r="BE47" i="2"/>
  <c r="BD47" i="2"/>
  <c r="BO46" i="2"/>
  <c r="BD46" i="2"/>
  <c r="BO45" i="2"/>
  <c r="BD45" i="2"/>
  <c r="BO44" i="2"/>
  <c r="BE44" i="2"/>
  <c r="BD44" i="2"/>
  <c r="BO43" i="2"/>
  <c r="BD43" i="2"/>
  <c r="BO42" i="2"/>
  <c r="BD42" i="2"/>
  <c r="BO41" i="2"/>
  <c r="BD41" i="2"/>
  <c r="BO40" i="2"/>
  <c r="BD40" i="2"/>
  <c r="BO39" i="2"/>
  <c r="BD39" i="2"/>
  <c r="BO38" i="2"/>
  <c r="BD38" i="2"/>
  <c r="BO37" i="2"/>
  <c r="BD37" i="2"/>
  <c r="BO36" i="2"/>
  <c r="BE36" i="2"/>
  <c r="BD36" i="2"/>
  <c r="BO35" i="2"/>
  <c r="BD35" i="2"/>
  <c r="BO34" i="2"/>
  <c r="BE34" i="2"/>
  <c r="BD34" i="2"/>
  <c r="BO33" i="2"/>
  <c r="BE33" i="2"/>
  <c r="BD33" i="2"/>
  <c r="BO32" i="2"/>
  <c r="BD32" i="2"/>
  <c r="BO31" i="2"/>
  <c r="BD31" i="2"/>
  <c r="BO30" i="2"/>
  <c r="BD30" i="2"/>
  <c r="BO29" i="2"/>
  <c r="BE29" i="2"/>
  <c r="BD29" i="2"/>
  <c r="BO28" i="2"/>
  <c r="BE28" i="2"/>
  <c r="BD28" i="2"/>
  <c r="BO27" i="2"/>
  <c r="BD27" i="2"/>
  <c r="BO26" i="2"/>
  <c r="BD26" i="2"/>
  <c r="BO25" i="2"/>
  <c r="BD25" i="2"/>
  <c r="BO24" i="2"/>
  <c r="BD24" i="2"/>
  <c r="BO23" i="2"/>
  <c r="BE23" i="2"/>
  <c r="BD23" i="2"/>
  <c r="BO22" i="2"/>
  <c r="BD22" i="2"/>
  <c r="BO21" i="2"/>
  <c r="BD21" i="2"/>
  <c r="BO20" i="2"/>
  <c r="BD20" i="2"/>
  <c r="BO19" i="2"/>
  <c r="BD19" i="2"/>
  <c r="BO18" i="2"/>
  <c r="BD18" i="2"/>
  <c r="BO17" i="2"/>
  <c r="BD17" i="2"/>
  <c r="BO16" i="2"/>
  <c r="BD16" i="2"/>
  <c r="BO15" i="2"/>
  <c r="BD15" i="2"/>
  <c r="BO14" i="2"/>
  <c r="BE14" i="2"/>
  <c r="BD14" i="2"/>
  <c r="BO13" i="2"/>
  <c r="BD13" i="2"/>
  <c r="BO12" i="2"/>
  <c r="BE12" i="2"/>
  <c r="BD12" i="2"/>
  <c r="BO11" i="2"/>
  <c r="BD11" i="2"/>
  <c r="BO10" i="2"/>
  <c r="BD10" i="2"/>
  <c r="BO9" i="2"/>
  <c r="BE9" i="2"/>
  <c r="BD9" i="2"/>
  <c r="BO8" i="2"/>
  <c r="BE8" i="2"/>
  <c r="BD8" i="2"/>
  <c r="BO7" i="2"/>
  <c r="BD7" i="2"/>
  <c r="BO6" i="2"/>
  <c r="BD6" i="2"/>
  <c r="BO5" i="2"/>
  <c r="BD5" i="2"/>
  <c r="BO4" i="2"/>
  <c r="BE4" i="2"/>
  <c r="BD4" i="2"/>
  <c r="BO3" i="2"/>
  <c r="BE3" i="2"/>
  <c r="BD3" i="2"/>
  <c r="BO2" i="2"/>
  <c r="BE2" i="2"/>
  <c r="BD2" i="2"/>
</calcChain>
</file>

<file path=xl/sharedStrings.xml><?xml version="1.0" encoding="utf-8"?>
<sst xmlns="http://schemas.openxmlformats.org/spreadsheetml/2006/main" count="12313" uniqueCount="2779">
  <si>
    <t>Company ID</t>
  </si>
  <si>
    <t>Companies</t>
  </si>
  <si>
    <t>Acquirers</t>
  </si>
  <si>
    <t># Active Investors</t>
  </si>
  <si>
    <t>Former Investors</t>
  </si>
  <si>
    <t>Active Investors Websites</t>
  </si>
  <si>
    <t>Active Investors</t>
  </si>
  <si>
    <t>Financing Status Note</t>
  </si>
  <si>
    <t>Revenue</t>
  </si>
  <si>
    <t>Revenue Growth %</t>
  </si>
  <si>
    <t>Gross Profit</t>
  </si>
  <si>
    <t>Net Income</t>
  </si>
  <si>
    <t>Enterprise Value</t>
  </si>
  <si>
    <t>EBITDA</t>
  </si>
  <si>
    <t>EBIT</t>
  </si>
  <si>
    <t>Market Cap</t>
  </si>
  <si>
    <t>Net Debt</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</si>
  <si>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</si>
  <si>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</si>
  <si>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</si>
  <si>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</si>
  <si>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</si>
  <si>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</si>
  <si>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</si>
  <si>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</si>
  <si>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</si>
  <si>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</si>
  <si>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</si>
  <si>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</si>
  <si>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Country/Territory/Region</t>
  </si>
  <si>
    <t>HQ Phone</t>
  </si>
  <si>
    <t>HQ Fax</t>
  </si>
  <si>
    <t>HQ Email</t>
  </si>
  <si>
    <t>HQ Global Region</t>
  </si>
  <si>
    <t>HQ Global Sub Region</t>
  </si>
  <si>
    <t>Company Former Name</t>
  </si>
  <si>
    <t>Company Also Known As</t>
  </si>
  <si>
    <t>Company Legal Name</t>
  </si>
  <si>
    <t>Registration Number</t>
  </si>
  <si>
    <t>Company Registry</t>
  </si>
  <si>
    <t>Competitors</t>
  </si>
  <si>
    <t>PBId</t>
  </si>
  <si>
    <t>Description</t>
  </si>
  <si>
    <t>Primary Industry Sector</t>
  </si>
  <si>
    <t>Primary Industry Group</t>
  </si>
  <si>
    <t>Primary Industry Code</t>
  </si>
  <si>
    <t>All Industries</t>
  </si>
  <si>
    <t>Verticals</t>
  </si>
  <si>
    <t>Keywords</t>
  </si>
  <si>
    <t>Emerging Spaces</t>
  </si>
  <si>
    <t>Company Financing Status</t>
  </si>
  <si>
    <t>Total Raised</t>
  </si>
  <si>
    <t>Business Status</t>
  </si>
  <si>
    <t>Ownership Status</t>
  </si>
  <si>
    <t>Universe</t>
  </si>
  <si>
    <t>Website</t>
  </si>
  <si>
    <t>LinkedIn URL</t>
  </si>
  <si>
    <t>Employees</t>
  </si>
  <si>
    <t>Employee History</t>
  </si>
  <si>
    <t>Exchange</t>
  </si>
  <si>
    <t>Ticker</t>
  </si>
  <si>
    <t>Year Founded</t>
  </si>
  <si>
    <t>Parent Company</t>
  </si>
  <si>
    <t>Last Updated Date</t>
  </si>
  <si>
    <t>Daily Updates</t>
  </si>
  <si>
    <t>Weekly Updates</t>
  </si>
  <si>
    <t>View Company Online</t>
  </si>
  <si>
    <t>471387-34</t>
  </si>
  <si>
    <t>Astrua 1860</t>
  </si>
  <si>
    <t/>
  </si>
  <si>
    <t>FY 2023</t>
  </si>
  <si>
    <t>Alessandria, Italy</t>
  </si>
  <si>
    <t>Corso Roma 144</t>
  </si>
  <si>
    <t>Alessandria</t>
  </si>
  <si>
    <t>15121</t>
  </si>
  <si>
    <t>Italy</t>
  </si>
  <si>
    <t>+39 01 1561 3589</t>
  </si>
  <si>
    <t>astrua@astrua.com</t>
  </si>
  <si>
    <t>Europe</t>
  </si>
  <si>
    <t>Southern Europe</t>
  </si>
  <si>
    <t>Astrua</t>
  </si>
  <si>
    <t>Valter Franco Ricci SpA</t>
  </si>
  <si>
    <t>00150300069</t>
  </si>
  <si>
    <t>Italian Business Register</t>
  </si>
  <si>
    <t>Retailer of luxury goods intended to represent prestigious brands. The company's product catalog includes luxury watches, jewelry, furniture, art glass and vases, luxury fragrances, handcrafted footwear and other accessories.</t>
  </si>
  <si>
    <t>Consumer Products and Services (B2C)</t>
  </si>
  <si>
    <t>Retail</t>
  </si>
  <si>
    <t>Specialty Retail</t>
  </si>
  <si>
    <t>Luxury Goods, Specialty Retail*</t>
  </si>
  <si>
    <t>handcrafted footwear, jewelry retail, luxury goods, luxury retail, luxury watches</t>
  </si>
  <si>
    <t>Corporation</t>
  </si>
  <si>
    <t>Generating Revenue</t>
  </si>
  <si>
    <t>Privately Held (no backing)</t>
  </si>
  <si>
    <t>Other Private Companies</t>
  </si>
  <si>
    <t>2021: 20, 2023: 63, 2024: 67, 2025: 73</t>
  </si>
  <si>
    <t>471168-28</t>
  </si>
  <si>
    <t>Urmaker Bjerke</t>
  </si>
  <si>
    <t>291531-34P</t>
  </si>
  <si>
    <t>Halvor Bjerke</t>
  </si>
  <si>
    <t>Chief Executive Officer &amp; General Manager</t>
  </si>
  <si>
    <t>+47 22 42 60 50</t>
  </si>
  <si>
    <t>Oslo, Norway</t>
  </si>
  <si>
    <t>Nedre Slottsgate 11</t>
  </si>
  <si>
    <t>Oslo</t>
  </si>
  <si>
    <t>0157</t>
  </si>
  <si>
    <t>Norway</t>
  </si>
  <si>
    <t>post@datatilsynet.no</t>
  </si>
  <si>
    <t>Northern Europe</t>
  </si>
  <si>
    <t>Urmaker Bjerke AS</t>
  </si>
  <si>
    <t>929740114</t>
  </si>
  <si>
    <t>Bronnoysundregistrene</t>
  </si>
  <si>
    <t>Supplier and retailer of watches and jewelry of luxury brands headquartered in Oslo, Norway. The company is associated with quality, exclusive watches from leading brands, high service, long experience and professional knowledge and performs repairs and service inspections on all brands they offer, enabling customers to get branded products as per their choice.</t>
  </si>
  <si>
    <t>Specialty Retail*</t>
  </si>
  <si>
    <t>E-Commerce</t>
  </si>
  <si>
    <t>online watch retail, online watches stores, watches seller, watches shops, watchmakers</t>
  </si>
  <si>
    <t>2020: 63, 2021: 30, 2022: 35, 2023: 90</t>
  </si>
  <si>
    <t>96913-27</t>
  </si>
  <si>
    <t>Juwelo TV Deutschland</t>
  </si>
  <si>
    <t>FY 2022</t>
  </si>
  <si>
    <t>77216-50P</t>
  </si>
  <si>
    <t>Wolfgang Boyé</t>
  </si>
  <si>
    <t>Co-Founder</t>
  </si>
  <si>
    <t>wolfgang.boye@elumeo.com</t>
  </si>
  <si>
    <t>+49 (0)30 6959 7930</t>
  </si>
  <si>
    <t>Berlin, Germany</t>
  </si>
  <si>
    <t>Erkelenzdamm 59/61</t>
  </si>
  <si>
    <t>Berlin</t>
  </si>
  <si>
    <t>10999</t>
  </si>
  <si>
    <t>Germany</t>
  </si>
  <si>
    <t>+49 (0)18 0505 3777</t>
  </si>
  <si>
    <t>+49 (0)18 0505 3888</t>
  </si>
  <si>
    <t>info@juwelo.de</t>
  </si>
  <si>
    <t>Western Europe</t>
  </si>
  <si>
    <t>Juwelo TV Deutschland GmbH</t>
  </si>
  <si>
    <t>HRB 72512 B</t>
  </si>
  <si>
    <t>Berlin (Charlottenburg) District Court</t>
  </si>
  <si>
    <t>Retailer of gemstone jewelry based in Berlin, Germany. The company offers precious gem gold and silver accessories including pendants, bracelets, bangles, brooches, rings, necklaces, earrings, jewelry sets, jewelry cases and watches as well as wellness accessories on its online platform.</t>
  </si>
  <si>
    <t>Internet Retail</t>
  </si>
  <si>
    <t>Accessories, Internet Retail*</t>
  </si>
  <si>
    <t>E-Commerce, TMT</t>
  </si>
  <si>
    <t>gemstone, gemstone jewelry, gold jewelry, internet retailer, jewelry, online marektplace, precious jewelry</t>
  </si>
  <si>
    <t>2012: 200, 2013: 283, 2017: 3, 2018: 3, 2019: 3, 2020: 3, 2021: 211, 2022: 206</t>
  </si>
  <si>
    <t>elumeo Group</t>
  </si>
  <si>
    <t>579637-00</t>
  </si>
  <si>
    <t>Exchange Ag Deutschland</t>
  </si>
  <si>
    <t>Eisenacher Strasse 85</t>
  </si>
  <si>
    <t>10781</t>
  </si>
  <si>
    <t>Exchange Ag Berlin Gesellschaft Für Geld- Und Devisenhandel</t>
  </si>
  <si>
    <t>HRB 64978 B</t>
  </si>
  <si>
    <t>Operator of a luxury jewelry and watch retail store. The entity offers a wide range of high-end jewelry items, including rings, necklaces, brooches, bracelets, and earrings, as well as luxury watches.</t>
  </si>
  <si>
    <t>Financial Services</t>
  </si>
  <si>
    <t>Other Financial Services</t>
  </si>
  <si>
    <t>Other Financial Services*</t>
  </si>
  <si>
    <t>2011: 50, 2012: 114, 2013: 128, 2014: 100, 2015: 140, 2016: 140, 2017: 140, 2018: 140, 2019: 140, 2020: 140, 2021: 160, 2022: 161</t>
  </si>
  <si>
    <t>220526-47</t>
  </si>
  <si>
    <t>John H. Lunn (Jewellers)</t>
  </si>
  <si>
    <t>FY 2024</t>
  </si>
  <si>
    <t>Belfast, United Kingdom</t>
  </si>
  <si>
    <t>Queens Arcade</t>
  </si>
  <si>
    <t>Belfast</t>
  </si>
  <si>
    <t>Northern Ireland</t>
  </si>
  <si>
    <t>BT1 5FE</t>
  </si>
  <si>
    <t>United Kingdom</t>
  </si>
  <si>
    <t>John H. Lunn (Jewellers), Limited</t>
  </si>
  <si>
    <t>NI003421</t>
  </si>
  <si>
    <t>Companies House</t>
  </si>
  <si>
    <t>F.Hinds, Rox (U.K.)</t>
  </si>
  <si>
    <t>Retailer of fine jewelry, luxury watches, and accessories from international design houses and watch manufacturers. The family-run business has multiple locations in Northern Ireland and offers online ordering. Specializing in diamonds, Lunn's Jewellers provides a diamond guide and certificate, as well as steam cleaning services for watches and certified watchmakers on staff.</t>
  </si>
  <si>
    <t>Other Retail</t>
  </si>
  <si>
    <t>Other Retail*</t>
  </si>
  <si>
    <t>business leasing, business product, business value, children product, customer experience design, level design, network business, product &amp; services, range service</t>
  </si>
  <si>
    <t>2019: 83, 2020: 86, 2021: 85, 2022: 93, 2023: 121, 2024: 121</t>
  </si>
  <si>
    <t>527922-19</t>
  </si>
  <si>
    <t>Chrono24 Direct</t>
  </si>
  <si>
    <t>FY 2021</t>
  </si>
  <si>
    <t>Wilsdruff, Germany</t>
  </si>
  <si>
    <t>Sachsenallee 24</t>
  </si>
  <si>
    <t>Wilsdruff</t>
  </si>
  <si>
    <t>Saxony</t>
  </si>
  <si>
    <t>01723</t>
  </si>
  <si>
    <t>Zeitauktion GmbH</t>
  </si>
  <si>
    <t>Chrono24 Direct GmbH</t>
  </si>
  <si>
    <t>HRB 44374</t>
  </si>
  <si>
    <t>Dresden District Court</t>
  </si>
  <si>
    <t>Retailer of pre-owned luxury watches for men and women, intended to offer certified timepieces and servicing. The company specializes in luxury watch sales, serving fashion-conscious consumers seeking high-quality accessories. Their curated selection ensures authenticity and quality, appealing to both collectors and casual buyers.</t>
  </si>
  <si>
    <t>Business Products and Services (B2B)</t>
  </si>
  <si>
    <t>Commercial Products</t>
  </si>
  <si>
    <t>Distributors/Wholesale</t>
  </si>
  <si>
    <t>Distributors/Wholesale*</t>
  </si>
  <si>
    <t>2011: 10, 2012: 10, 2013: 10, 2014: 14, 2015: 14, 2016: 14, 2017: 14, 2018: 14, 2019: 14, 2020: 14, 2021: 97</t>
  </si>
  <si>
    <t>Mpn Marketplace Networks</t>
  </si>
  <si>
    <t>497549-80</t>
  </si>
  <si>
    <t>UNOde50</t>
  </si>
  <si>
    <t>303282-91P</t>
  </si>
  <si>
    <t>Jose Azulay</t>
  </si>
  <si>
    <t>Founder, Owner, President and Creative Director</t>
  </si>
  <si>
    <t>jose_azulay@unode50.com</t>
  </si>
  <si>
    <t>+34 91 484 1479</t>
  </si>
  <si>
    <t>Alcobendas, Spain</t>
  </si>
  <si>
    <t>C Guzman el Bueno, 6</t>
  </si>
  <si>
    <t>Polígono Industrial de Alcobendas</t>
  </si>
  <si>
    <t>Alcobendas</t>
  </si>
  <si>
    <t>Madrid</t>
  </si>
  <si>
    <t>28108</t>
  </si>
  <si>
    <t>Spain</t>
  </si>
  <si>
    <t>info@unode50.com</t>
  </si>
  <si>
    <t>ARS REI</t>
  </si>
  <si>
    <t>ARS REI, S.L.</t>
  </si>
  <si>
    <t>B81926883</t>
  </si>
  <si>
    <t>Infocif</t>
  </si>
  <si>
    <t>Manufacturer and distributor of jewelry products based in Alcobendas, Spain. The company's product offering includes earrings, bracelets, necklaces, rings, belts, cufflinks and watches.</t>
  </si>
  <si>
    <t>Apparel and Accessories</t>
  </si>
  <si>
    <t>Accessories</t>
  </si>
  <si>
    <t>Accessories*, Luxury Goods</t>
  </si>
  <si>
    <t>Manufacturing</t>
  </si>
  <si>
    <t>fashion accessories, fashion jewelry, jewelry chain, jewelry product, men's jewelry, women's jewelry</t>
  </si>
  <si>
    <t>2022: 376</t>
  </si>
  <si>
    <t>546670-09</t>
  </si>
  <si>
    <t>Citizen Watch United Kingdom</t>
  </si>
  <si>
    <t>Wokingham, United Kingdom</t>
  </si>
  <si>
    <t>7 Ashville Way</t>
  </si>
  <si>
    <t>Wokingham</t>
  </si>
  <si>
    <t>England</t>
  </si>
  <si>
    <t>04104163</t>
  </si>
  <si>
    <t>Manufacturer of light-powered Eco-Drive watches with a focus on sustainability. Citizen Watch UK offers a wide selection of men's and women's watches, including limited editions and new arrivals, all while promoting eco-mindful values. The brand is known for technical precision, quality craftsmanship, and design excellence. Free delivery and extended returns during the Christmas period are available.</t>
  </si>
  <si>
    <t>Industrial Supplies and Parts</t>
  </si>
  <si>
    <t>Industrial Supplies and Parts*</t>
  </si>
  <si>
    <t>2018: 68, 2020: 71, 2021: 66, 2022: 60, 2023: 62, 2024: 65</t>
  </si>
  <si>
    <t>569977-57</t>
  </si>
  <si>
    <t>Shin-Etsu Polymer Europe</t>
  </si>
  <si>
    <t>Venlo, Netherlands</t>
  </si>
  <si>
    <t>Venlo</t>
  </si>
  <si>
    <t>Netherlands</t>
  </si>
  <si>
    <t>Shin-Etsu Polymer Europe BV</t>
  </si>
  <si>
    <t>12028985</t>
  </si>
  <si>
    <t>KVK</t>
  </si>
  <si>
    <t>Developer of custom electro-mechanical components and materials for multiple markets including telecommunications, automotive, medical, semiconductor, instrumentation, watch, consumer, and office automation. Shin-Etsu Polymer offers tailor-made products using materials from affiliated suppliers Shin-Etsu Chemical Co. Ltd and Shin-Etsu Silicones Co. Ltd. The company has a global reach with production facilities throughout the world and boasts quick communication, cost-effectiveness, and fast response times.</t>
  </si>
  <si>
    <t>Electrical Equipment</t>
  </si>
  <si>
    <t>Electrical Equipment*, Electronics (B2C)</t>
  </si>
  <si>
    <t>2005: 230, 2006: 45, 2007: 146, 2008: 73, 2009: 76, 2010: 60, 2011: 42, 2012: 54, 2013: 51, 2014: 49, 2015: 50, 2016: 52, 2017: 54, 2018: 56, 2019: 65, 2020: 76, 2021: 76, 2022: 78, 2023: 83</t>
  </si>
  <si>
    <t>224957-17</t>
  </si>
  <si>
    <t>Peers Hardy (UK)</t>
  </si>
  <si>
    <t>Solihull, United Kingdom</t>
  </si>
  <si>
    <t>Precision House Starley Way,Birmingham Internati</t>
  </si>
  <si>
    <t>Solihull</t>
  </si>
  <si>
    <t>B37 7GN</t>
  </si>
  <si>
    <t>Peers Hardy (Midlands) Limited</t>
  </si>
  <si>
    <t>Peers Hardy (UK) Limited</t>
  </si>
  <si>
    <t>01391526</t>
  </si>
  <si>
    <t>Supplier of watches, clocks, jewelry, and gifts to fashion chains and consumers. Peers Hardy offers own label watches and a portfolio of brands, including Harry Lime, Reflex Active, Henry London, Radley, Sara Miller, Orla Kiely Time, Tikkers, and Disney. Headquartered in Birmingham, UK, the company also provides customer service and WEEE recycling services.</t>
  </si>
  <si>
    <t>Industrials</t>
  </si>
  <si>
    <t>children fashion, fashion branding, fashion group, fashion watches, gift supplier, group gift</t>
  </si>
  <si>
    <t>2019: 78, 2020: 65, 2021: 59, 2022: 64, 2023: 71</t>
  </si>
  <si>
    <t>60716-89</t>
  </si>
  <si>
    <t>Polar (Finland)</t>
  </si>
  <si>
    <t>264933-46P</t>
  </si>
  <si>
    <t>Sander Werring</t>
  </si>
  <si>
    <t>Chief Executive Officer</t>
  </si>
  <si>
    <t>sander.werring@polar.com</t>
  </si>
  <si>
    <t>+31 (0)36 546 0313</t>
  </si>
  <si>
    <t>Kempele, Finland</t>
  </si>
  <si>
    <t>Professorintie 5</t>
  </si>
  <si>
    <t>Kempele</t>
  </si>
  <si>
    <t>90440</t>
  </si>
  <si>
    <t>Finland</t>
  </si>
  <si>
    <t>+358 (0)85 202 100</t>
  </si>
  <si>
    <t>Polar</t>
  </si>
  <si>
    <t>Polar Electro Oy</t>
  </si>
  <si>
    <t>0209911-2</t>
  </si>
  <si>
    <t>Virre</t>
  </si>
  <si>
    <t>Manufacturer of wearable sports technology products based in Kempele, Finland. The company's product offering includes heart rate sensors, changeable wristbands, cycling accessories, senor bluetooth and GPS watch and it also offers online training and workout application, helping athletes and coaches at all levels to improve their health, performance and overall wellbeing.</t>
  </si>
  <si>
    <t>Consumer Durables</t>
  </si>
  <si>
    <t>Electronics (B2C)</t>
  </si>
  <si>
    <t>Application Software, Electrical Equipment, Electronics (B2C)*</t>
  </si>
  <si>
    <t>fitness application, fitness products, fitness technology product, sports technology products, wearable sports sensors, workout products</t>
  </si>
  <si>
    <t>2015: 1575, 2016: 1519, 2017: 1487, 2018: 1396, 2019: 1267, 2020: 1162, 2022: 1200</t>
  </si>
  <si>
    <t>225581-50</t>
  </si>
  <si>
    <t>Michael Spiers (Jewellers)</t>
  </si>
  <si>
    <t>Plymouth, United Kingdom</t>
  </si>
  <si>
    <t>54 Cornwall Street</t>
  </si>
  <si>
    <t>Plymouth</t>
  </si>
  <si>
    <t>PL1 1LR</t>
  </si>
  <si>
    <t>Michael Spiers (Jewellers) Limited</t>
  </si>
  <si>
    <t>00689786</t>
  </si>
  <si>
    <t>Retailer of luxury watches and jewelry in the South West of England. Michael Spiers offers a range of products from various brands, as well as virtual appointments, bridal collections, interest-free finance, and delivery. The company is family-owned and was founded in 1957. They are authorized and regulated by the Financial Conduct Authority as a credit broker.</t>
  </si>
  <si>
    <t>company branding, customer engagement, customer engagement service, diamond manufacturer, independent stores, luxury watches, pen manufacturer, stores environment, swiss watches, writing experience</t>
  </si>
  <si>
    <t>2019: 56, 2020: 58, 2021: 56, 2022: 59, 2023: 60, 2024: 67</t>
  </si>
  <si>
    <t>556599-97</t>
  </si>
  <si>
    <t>CHEVAL FRERES</t>
  </si>
  <si>
    <t>FY 2008</t>
  </si>
  <si>
    <t>Ecole-valentin, France</t>
  </si>
  <si>
    <t>12, rue Lirenne</t>
  </si>
  <si>
    <t>Ecole-valentin</t>
  </si>
  <si>
    <t>Bourgogne-Franche-Comte</t>
  </si>
  <si>
    <t>25480</t>
  </si>
  <si>
    <t>France</t>
  </si>
  <si>
    <t>775571490</t>
  </si>
  <si>
    <t>National Register of companies (RNE)</t>
  </si>
  <si>
    <t>Provider of components for luxury watchmaking, jewelry, and high-tech industries - CHEVAL FRERES. The company offers solutions, materials, and functions in partnership with its customers to meet aesthetic finish requirements. They combine traditional know-how with cutting-edge technologies to provide high-quality products.</t>
  </si>
  <si>
    <t>Luxury Goods</t>
  </si>
  <si>
    <t>Luxury Goods*</t>
  </si>
  <si>
    <t>clock pulsators, industrial stone, luxury accessories, watches crown</t>
  </si>
  <si>
    <t>2006: 166, 2007: 163, 2008: 173</t>
  </si>
  <si>
    <t>Groupe Industries Micromécaniques Internationales</t>
  </si>
  <si>
    <t>219664-18</t>
  </si>
  <si>
    <t>Cornertrack</t>
  </si>
  <si>
    <t>FY 2018</t>
  </si>
  <si>
    <t>London, United Kingdom</t>
  </si>
  <si>
    <t>C/O Quantuma Advisory Limited 7th Floor</t>
  </si>
  <si>
    <t>London</t>
  </si>
  <si>
    <t>EC4A 3AG</t>
  </si>
  <si>
    <t>Cornertrack Limited</t>
  </si>
  <si>
    <t>07320404</t>
  </si>
  <si>
    <t>Operator of party venues in multiple UK cities, offering food, drinks, live sports bars, oompah shows, stag and hen do's, and corporate events. The venues provide a variety of activities and entertainment, including pool tables, darts, and large screens for watching sports. The Bierkeller has locations in Manchester and Liverpool.</t>
  </si>
  <si>
    <t>audience participation, background music, entertainment destination, entertainment group, entertainment program, musicals entertainment, night entertainment, party entertainment, social entertainment</t>
  </si>
  <si>
    <t>2014: 8, 2015: 8, 2016: 13, 2017: 15, 2018: 500</t>
  </si>
  <si>
    <t>206582-23</t>
  </si>
  <si>
    <t>T.H.Baker &amp; Co.(Established 1888)limited</t>
  </si>
  <si>
    <t>Dudley, United Kingdom</t>
  </si>
  <si>
    <t>Churchfield House 36 Vicar Street</t>
  </si>
  <si>
    <t>Dudley</t>
  </si>
  <si>
    <t>DY2 8RG</t>
  </si>
  <si>
    <t>00506598</t>
  </si>
  <si>
    <t>The company primarily operates in the Specialty Retail industry. T.H.Baker &amp; Co.(Established 1888)limited was founded in 1952 and is headquartered in Dudley, United Kingdom.</t>
  </si>
  <si>
    <t>business newsletter, collection services, delivery business, designer watches, free delivery, independent retailer, latest trends, newsletter services, online fashion retailer</t>
  </si>
  <si>
    <t>2017: 152, 2019: 137, 2020: 151, 2021: 168, 2022: 154, 2023: 132, 2024: 134</t>
  </si>
  <si>
    <t>514058-50</t>
  </si>
  <si>
    <t>Macforum</t>
  </si>
  <si>
    <t>Goteborg, Sweden</t>
  </si>
  <si>
    <t>Ostra Hamngatan 16</t>
  </si>
  <si>
    <t>Goteborg</t>
  </si>
  <si>
    <t>Vastra Gotaland County</t>
  </si>
  <si>
    <t>411 09</t>
  </si>
  <si>
    <t>Sweden</t>
  </si>
  <si>
    <t>Macforum Aktiebolag</t>
  </si>
  <si>
    <t>Macforum AB</t>
  </si>
  <si>
    <t>5564359684</t>
  </si>
  <si>
    <t>Bolagsverket</t>
  </si>
  <si>
    <t>Authorized retailer and service provider for Apple products in Sweden. The entity offers a wide range of Apple products, including Macs, iPhones, iPads, Apple Watches, and accessories, as well as authorized repairs and trade-in services. The entity prioritizes business customers and operates five Apple Premium Reseller stores.</t>
  </si>
  <si>
    <t>2019: 100, 2020: 89, 2021: 69, 2022: 72, 2023: 71, 2024: 62</t>
  </si>
  <si>
    <t>587644-57</t>
  </si>
  <si>
    <t>The Zoological Society Of Ireland</t>
  </si>
  <si>
    <t>Ireland</t>
  </si>
  <si>
    <t>The Zoological Gardens The Phoenix Park Co Dublindublin</t>
  </si>
  <si>
    <t>Haughton Science Limited/The Zoological Society Of Ireland</t>
  </si>
  <si>
    <t>207824</t>
  </si>
  <si>
    <t>Irish Companies Registration Office (CRO)</t>
  </si>
  <si>
    <t>Operator of a zoo in Ireland, offering ticketing, group visits, and school visits. The zoo houses multiple animal habitats and runs community engagement programs such as one-day workshops and summer camps. They offer private events and annual passes, and visitors can watch live webcams and attend keeper talks.</t>
  </si>
  <si>
    <t>Commercial Services</t>
  </si>
  <si>
    <t>Other Commercial Services</t>
  </si>
  <si>
    <t>Other Commercial Services*</t>
  </si>
  <si>
    <t>2018: 163, 2019: 167, 2020: 124, 2021: 135, 2022: 175, 2023: 181</t>
  </si>
  <si>
    <t>511726-06</t>
  </si>
  <si>
    <t>Przedsiębiorstwo Handlowo - Usługowe Jubiler</t>
  </si>
  <si>
    <t>Warsaw, Poland</t>
  </si>
  <si>
    <t>Poleczki 13</t>
  </si>
  <si>
    <t>Warsaw</t>
  </si>
  <si>
    <t>02-822</t>
  </si>
  <si>
    <t>Poland</t>
  </si>
  <si>
    <t>Eastern Europe</t>
  </si>
  <si>
    <t>Przedsiębiorstwo Handlowo - Usługowe Jubiler Sp. Z O.O.</t>
  </si>
  <si>
    <t>50320</t>
  </si>
  <si>
    <t>EKRS</t>
  </si>
  <si>
    <t>Retailer of watches and smartwatches designed to meet diverse customer preferences. The store offers a selection of products from various brands, serving customers looking for timepieces across different styles and budgets. The range includes automatic, quartz, electronic, and smartwatches, along with services such as shipping and engraving. Additionally, the retailer features a variety of jewelry, gift sets, and gift cards to enhance the shopping experience.</t>
  </si>
  <si>
    <t>2018: 527, 2019: 599, 2020: 544, 2021: 503, 2022: 471, 2023: 437</t>
  </si>
  <si>
    <t>365237-65</t>
  </si>
  <si>
    <t>High Watch Recovery Center</t>
  </si>
  <si>
    <t>FY 2019</t>
  </si>
  <si>
    <t>363530-35P</t>
  </si>
  <si>
    <t>Derek Tranzillo</t>
  </si>
  <si>
    <t>Chief Financial Officer</t>
  </si>
  <si>
    <t>dtranzillo@highwatchrecovery.org</t>
  </si>
  <si>
    <t>+1 (860) 927-3772</t>
  </si>
  <si>
    <t>Kent, CT</t>
  </si>
  <si>
    <t>62 Carter Rd</t>
  </si>
  <si>
    <t>Kent</t>
  </si>
  <si>
    <t>Connecticut</t>
  </si>
  <si>
    <t>06757</t>
  </si>
  <si>
    <t>United States</t>
  </si>
  <si>
    <t>Americas</t>
  </si>
  <si>
    <t>North America</t>
  </si>
  <si>
    <t>High Watch Recovery Center, Inc.</t>
  </si>
  <si>
    <t>High Watch Recovery Center is a Kent, CT based private company whose line of business is Specialty outpatient clinic</t>
  </si>
  <si>
    <t>Healthcare</t>
  </si>
  <si>
    <t>Healthcare Services</t>
  </si>
  <si>
    <t>Clinics/Outpatient Services</t>
  </si>
  <si>
    <t>Clinics/Outpatient Services*</t>
  </si>
  <si>
    <t>2019: 115</t>
  </si>
  <si>
    <t>582792-67</t>
  </si>
  <si>
    <t>Binda Italia</t>
  </si>
  <si>
    <t>Milan, Italy</t>
  </si>
  <si>
    <t>Cso Sempione, 2</t>
  </si>
  <si>
    <t>Milan</t>
  </si>
  <si>
    <t>20154</t>
  </si>
  <si>
    <t>bindaitaliasrl@legalmail.it</t>
  </si>
  <si>
    <t>Binda Italia S.R.L.</t>
  </si>
  <si>
    <t>05025890962</t>
  </si>
  <si>
    <t>Manufacturer and distributor of watches and jewelry. The Binda Group offers unisex steel products with unique design and personality, catering to a diverse audience.</t>
  </si>
  <si>
    <t>2023: 69, 2024: 80, 2025: 80</t>
  </si>
  <si>
    <t>233173-18</t>
  </si>
  <si>
    <t>Denvir Holdings</t>
  </si>
  <si>
    <t>7-19 Royal Avenue</t>
  </si>
  <si>
    <t>BT1 1FB</t>
  </si>
  <si>
    <t>Denvir Holdings Limited</t>
  </si>
  <si>
    <t>NI618749</t>
  </si>
  <si>
    <t>Operator of designer jewellery and watch retail services intended to offer high-quality accessories. The company sells earrings, necklaces, bracelets, and rings from various brands, serving customers in the UK and Ireland. Additionally, it provides engraving and gift voucher services, enhancing the shopping experience for its clientele. The retailer operates both online and in physical locations, catering to diverse consumer preferences.</t>
  </si>
  <si>
    <t>2018: 776, 2019: 376, 2020: 306, 2021: 274, 2022: 272, 2023: 248</t>
  </si>
  <si>
    <t>349177-06</t>
  </si>
  <si>
    <t>Backgroundchecks.com</t>
  </si>
  <si>
    <t>FY 2011</t>
  </si>
  <si>
    <t>269716-33P</t>
  </si>
  <si>
    <t>Jeanne Conrad</t>
  </si>
  <si>
    <t>jeanne.conrad@backgroundchecks.com</t>
  </si>
  <si>
    <t>+1 (877) 556-5135</t>
  </si>
  <si>
    <t>Dallas, TX</t>
  </si>
  <si>
    <t>Post Office Box 741733</t>
  </si>
  <si>
    <t>Dallas</t>
  </si>
  <si>
    <t>Texas</t>
  </si>
  <si>
    <t>75374</t>
  </si>
  <si>
    <t>info@backgroundchecks.com</t>
  </si>
  <si>
    <t>Backgroundchecks.com Llc</t>
  </si>
  <si>
    <t>Developer of a database platform designed to provide online access to public records. The company provides criminal records from offender registries, criminal history files, government watch lists and more, thereby providing innovative and comprehensive screening services for various industries.</t>
  </si>
  <si>
    <t>Information Technology</t>
  </si>
  <si>
    <t>Software</t>
  </si>
  <si>
    <t>Database Software</t>
  </si>
  <si>
    <t>Database Software*, Media and Information Services (B2B), Other Commercial Services</t>
  </si>
  <si>
    <t>Big Data, SaaS</t>
  </si>
  <si>
    <t>criminal conviction, criminal record, database platform, public information, public records</t>
  </si>
  <si>
    <t>2021: 43, 2024: 70</t>
  </si>
  <si>
    <t>511889-77</t>
  </si>
  <si>
    <t>Spółdzielnia Hale Banacha</t>
  </si>
  <si>
    <t>Grojecka 95</t>
  </si>
  <si>
    <t>02-101</t>
  </si>
  <si>
    <t>Społdzielnia Hale Banacha</t>
  </si>
  <si>
    <t>136650</t>
  </si>
  <si>
    <t>Operator of a multi-purpose market and service center providing a diverse array of products and services. The facility offers clothing, footwear, food items, and household goods, serving the local community in Warsaw. Additionally, it includes food and beverage services, tailoring, watch repair, and optical services, catering to a broad range of customer needs. The market operates under designated hours to accommodate its clientele.</t>
  </si>
  <si>
    <t>2018: 200, 2019: 200, 2020: 185, 2021: 173, 2022: 160, 2023: 157</t>
  </si>
  <si>
    <t>162877-15</t>
  </si>
  <si>
    <t>Beauty Forever</t>
  </si>
  <si>
    <t>TTM 2Q2017</t>
  </si>
  <si>
    <t>Taipei City, Taiwan</t>
  </si>
  <si>
    <t>No 659 Mingshuei Road</t>
  </si>
  <si>
    <t>Taipei City</t>
  </si>
  <si>
    <t>104-66</t>
  </si>
  <si>
    <t>Taiwan</t>
  </si>
  <si>
    <t>+886 (0)22 5336028</t>
  </si>
  <si>
    <t>Asia</t>
  </si>
  <si>
    <t>East Asia</t>
  </si>
  <si>
    <t>Beauty Forever Co Ltd</t>
  </si>
  <si>
    <t>Retailer of cosmetic and other products. The company is engaged in selling beauty and cosmetics products, jewelry, precious stones, watches and pharmaceuticals.</t>
  </si>
  <si>
    <t>Department Stores</t>
  </si>
  <si>
    <t>Department Stores*, Other Retail, Personal Products</t>
  </si>
  <si>
    <t>cosmetic product retail, jewelry, pharmaceutical, precious stone</t>
  </si>
  <si>
    <t>Profitable</t>
  </si>
  <si>
    <t>Publicly Listed</t>
  </si>
  <si>
    <t>2016: 154, 2017: 203</t>
  </si>
  <si>
    <t>586457-92</t>
  </si>
  <si>
    <t>J H Young</t>
  </si>
  <si>
    <t>Romney Marsh, United Kingdom</t>
  </si>
  <si>
    <t>19-23 Hythe Road Dymchurch</t>
  </si>
  <si>
    <t>Romney Marsh</t>
  </si>
  <si>
    <t>TN29 0LN</t>
  </si>
  <si>
    <t>J H Young Limited</t>
  </si>
  <si>
    <t>05584217</t>
  </si>
  <si>
    <t>Specializing in custom jewellery design, luxury watches, and jewellery repair services, this Brantford, ON jewellery store offers a wide selection of engagement rings, diamond jewellery, coloured stone jewellery, and gold jewellery. With three full-time goldsmiths on staff and a complete on-site workshop, they provide in-house custom work and repairs. Additionally, they offer appraisals conducted by GIA graduates.</t>
  </si>
  <si>
    <t>2019: 46, 2020: 52, 2021: 59, 2022: 61, 2023: 61</t>
  </si>
  <si>
    <t>455157-91</t>
  </si>
  <si>
    <t>Il Globo Vigilanza</t>
  </si>
  <si>
    <t>248689-36P</t>
  </si>
  <si>
    <t>Cristina Niccolai</t>
  </si>
  <si>
    <t>Managing Director</t>
  </si>
  <si>
    <t>+39 05 7326 611</t>
  </si>
  <si>
    <t>Pistoia, Italy</t>
  </si>
  <si>
    <t>Corso Antonio Gramsci, 56</t>
  </si>
  <si>
    <t>Pistoia</t>
  </si>
  <si>
    <t>51100</t>
  </si>
  <si>
    <t>+39 05 7336 7357</t>
  </si>
  <si>
    <t>globo@globovigilanza.com</t>
  </si>
  <si>
    <t>Il Globo Vigilanza S.R.L.</t>
  </si>
  <si>
    <t>01065300475</t>
  </si>
  <si>
    <t>Provider of security services and alarm systems intended for custody, surveillance, access to buildings and related applications. The company provides protection inside and outside buildings through the alarm and anti-intrusion systems connected to a 24-hour operations center, video surveillance systems as well as provide private personnel for day and night watch, providing individuals and companies with private security services, escort and transport of valuables and video surveillance systems.</t>
  </si>
  <si>
    <t>Security Services (B2B)</t>
  </si>
  <si>
    <t>Electronics (B2C), Security Services (B2B)*</t>
  </si>
  <si>
    <t>alarm system, private protection, security, security guard services, security personnel, security services, video surveillance</t>
  </si>
  <si>
    <t>2024: 390, 2025: 374</t>
  </si>
  <si>
    <t>65344-60</t>
  </si>
  <si>
    <t>Chopard</t>
  </si>
  <si>
    <t>309455-65P</t>
  </si>
  <si>
    <t>Karl-Friedrich Scheufele</t>
  </si>
  <si>
    <t>Chief Operating Officer, Managing Director &amp; Chairman</t>
  </si>
  <si>
    <t>kscheufele@chopard.com</t>
  </si>
  <si>
    <t>+41 (0)22 719 3131</t>
  </si>
  <si>
    <t>Meyrin, Switzerland</t>
  </si>
  <si>
    <t>Rue de Veyrot, 8</t>
  </si>
  <si>
    <t>C.P.85</t>
  </si>
  <si>
    <t>Meyrin</t>
  </si>
  <si>
    <t>1217</t>
  </si>
  <si>
    <t>Switzerland</t>
  </si>
  <si>
    <t>+41 (0)22 719 3135</t>
  </si>
  <si>
    <t>info@chopard.ch</t>
  </si>
  <si>
    <t>Le petit-fils de L.U. Chopard &amp; Cie SA</t>
  </si>
  <si>
    <t>TAG Heuer International, APM Monaco, Thomas Sabo, Rolex, Guccio Gucci, Van Cleef &amp; Arpels, Boucheron Holding, Harry Winston, Buccellati Holding Italia, Cartier, Coach Stores, Maurice Lacroix, Montblanc (Accessories), Jacob &amp; Co, Chaumet, Bulgari, Hermes International, FOPE, Rolex Watch UK, Joyería Tous, Louis Vuitton, Patek Philippe, Frederique Constant, Christian Dior, Ashford.com, Chanel</t>
  </si>
  <si>
    <t>Manufacturer and retailer of luxury accessories headquartered in Meyrin, Switzerland. The company's product range includes diamonds, sparkling jewelry, contemporary gentlemen's sports watches, complicated mechanical timepieces, ladies' sports, and dress watches, and more.</t>
  </si>
  <si>
    <t>luxury accessories, luxury jewelry, luxury jewelry accessories, luxury watches, luxury watches designer, luxury watches maker, luxury watches seller</t>
  </si>
  <si>
    <t>1937: 150, 2014: 2000, 2020: 2000, 2021: 2400</t>
  </si>
  <si>
    <t>235229-68</t>
  </si>
  <si>
    <t>Nine Line Apparel</t>
  </si>
  <si>
    <t>224938-18P</t>
  </si>
  <si>
    <t>Sherry Sikes</t>
  </si>
  <si>
    <t>sherry.sikes@ninelineapparel.com</t>
  </si>
  <si>
    <t>+1 (912) 480-4250</t>
  </si>
  <si>
    <t>Savannah, GA</t>
  </si>
  <si>
    <t>450 Fort Argyle Road</t>
  </si>
  <si>
    <t>Savannah</t>
  </si>
  <si>
    <t>Georgia</t>
  </si>
  <si>
    <t>31419</t>
  </si>
  <si>
    <t>Nine Line Apparel Inc</t>
  </si>
  <si>
    <t>Barbell Apparel, Grunt Style</t>
  </si>
  <si>
    <t>Manufacturer of cloths intended to offer cloths to the American people. The company offers hoodies, men's and women's t-shirt, watches, wallets, bag packs, phone cases, maglite tac kit, belts and other related products, serving consumers with different products of clothing and accessories.</t>
  </si>
  <si>
    <t>Accessories*, Clothing</t>
  </si>
  <si>
    <t>accessories seller, clothing branding, clothing firm, clothing product, t-shirt manufacturer</t>
  </si>
  <si>
    <t>Debt Financed</t>
  </si>
  <si>
    <t>2022: 113, 2023: 121, 2024: 121, 2025: 123</t>
  </si>
  <si>
    <t>524797-21</t>
  </si>
  <si>
    <t>Jacques Lemans Gesmbh</t>
  </si>
  <si>
    <t>Sankt Veit An Der Glan, Austria</t>
  </si>
  <si>
    <t>Jacques-Lemans-Strasse 1</t>
  </si>
  <si>
    <t>Sankt Veit An Der Glan</t>
  </si>
  <si>
    <t>Carinthia</t>
  </si>
  <si>
    <t>9300</t>
  </si>
  <si>
    <t>Austria</t>
  </si>
  <si>
    <t>Riedl-Warengroßhandels Gesellschaft M.B.H.</t>
  </si>
  <si>
    <t>103610v</t>
  </si>
  <si>
    <t>Firmenbuch</t>
  </si>
  <si>
    <t>Provider of watches and jewelry designed to cater to diverse fashion preferences. The company manufactures and retails a range of wristwatches and jewelry pieces for both men and women. With over 40 years of experience, the brand serves a global market, offering various styles and models to meet customer needs.</t>
  </si>
  <si>
    <t>2005: 40, 2006: 40, 2007: 40, 2008: 46, 2009: 47, 2010: 56, 2011: 61, 2012: 66, 2013: 70, 2014: 67, 2015: 65, 2016: 70, 2017: 64, 2018: 72, 2019: 94, 2020: 96, 2021: 89, 2022: 87, 2023: 83, 2024: 83</t>
  </si>
  <si>
    <t>577427-59</t>
  </si>
  <si>
    <t>Rox (U.K.)</t>
  </si>
  <si>
    <t>Glasgow, United Kingdom</t>
  </si>
  <si>
    <t>42-43 Argyll Arcade</t>
  </si>
  <si>
    <t>Glasgow</t>
  </si>
  <si>
    <t>Scotland</t>
  </si>
  <si>
    <t>G2 8BG</t>
  </si>
  <si>
    <t>Rox (U.K.) Limited</t>
  </si>
  <si>
    <t>SC216217</t>
  </si>
  <si>
    <t>Operator of luxury jewellery and watch retail services aimed at providing high-end adornments and timepieces. The company specializes in diamond engagement rings and bespoke jewellery designs, serving affluent customers in the UK. Their offerings include a curated selection of luxury watches from renowned brands, catering to those seeking exclusive and personalized items.</t>
  </si>
  <si>
    <t>2018: 83, 2019: 91, 2020: 86, 2021: 68, 2022: 72, 2023: 78, 2024: 76</t>
  </si>
  <si>
    <t>Rosebank Holdings</t>
  </si>
  <si>
    <t>419286-79</t>
  </si>
  <si>
    <t>Scintille</t>
  </si>
  <si>
    <t>Cosenza, Italy</t>
  </si>
  <si>
    <t>Via Montesanto, 119</t>
  </si>
  <si>
    <t>Cosenza</t>
  </si>
  <si>
    <t>87100</t>
  </si>
  <si>
    <t>scintillesrl@pec.it</t>
  </si>
  <si>
    <t>Scintille S.R.L.</t>
  </si>
  <si>
    <t>01681490783</t>
  </si>
  <si>
    <t>Retailer of jewelry, watches, and accessories from national and international brands. Scintille Montesanto operates three physical stores and an online store, offering a wide range of products for men, women, and children. The company provides secure payment and shipping options, as well as a customer service team to assist with inquiries. Customers can also subscribe to the newsletter for promotions and discounts.</t>
  </si>
  <si>
    <t>2023: 60, 2024: 68, 2025: 77</t>
  </si>
  <si>
    <t>134724-79</t>
  </si>
  <si>
    <t>Hc Coils</t>
  </si>
  <si>
    <t>Fareham, United Kingdom</t>
  </si>
  <si>
    <t>Vulcan Way</t>
  </si>
  <si>
    <t>Faraday Business Park</t>
  </si>
  <si>
    <t>Fareham</t>
  </si>
  <si>
    <t>PO13 9FW</t>
  </si>
  <si>
    <t>+44 (0)23 9250 1431</t>
  </si>
  <si>
    <t>+44 (0)23 9252 9272</t>
  </si>
  <si>
    <t>website@hccoils.com</t>
  </si>
  <si>
    <t>HC Coils Ltd</t>
  </si>
  <si>
    <t>08103386</t>
  </si>
  <si>
    <t>Manufacturer of heat exchange coils and coil-based products for global applications. HC Coils designs and produces coils for heating, cooling, and air conditioning, as well as dry air coolers, air blast radiators, air cooled condensers, and forced air evaporators. The company offers customized products to high and low volume OEMs with a flexible approach to design and manufacturing. HC Coils operates from a facility in Fareham, Hampshire, and provides short lead times and competitive pricing.</t>
  </si>
  <si>
    <t>Consumer Non-Durables</t>
  </si>
  <si>
    <t>Food Products</t>
  </si>
  <si>
    <t>Food Products*, Industrial Supplies and Parts, Logistics</t>
  </si>
  <si>
    <t>food processing, fresh produce, stainless steel, watches casing</t>
  </si>
  <si>
    <t>2018: 3, 2019: 3, 2020: 57, 2021: 63, 2022: 63, 2023: 68</t>
  </si>
  <si>
    <t>134031-25</t>
  </si>
  <si>
    <t>Time After Time Inc.</t>
  </si>
  <si>
    <t>FY 2017</t>
  </si>
  <si>
    <t>166282-39P</t>
  </si>
  <si>
    <t>Derek Koss</t>
  </si>
  <si>
    <t>President &amp; Chief Executive Officer</t>
  </si>
  <si>
    <t>derek@timeaftertimewatches.com</t>
  </si>
  <si>
    <t>Plymouth Meeting, PA</t>
  </si>
  <si>
    <t>Plymouth Meeting</t>
  </si>
  <si>
    <t>Pennsylvania</t>
  </si>
  <si>
    <t>19462</t>
  </si>
  <si>
    <t>Time After Time, Inc.</t>
  </si>
  <si>
    <t>Retailer of luxury watches and accessories with multiple store locations in Pennsylvania and New Jersey. Time After Time offers a wide selection of products from over 40 different brands, as well as watch repair services and free shipping on orders over $100.</t>
  </si>
  <si>
    <t>Other Commercial Products</t>
  </si>
  <si>
    <t>Other Commercial Products*</t>
  </si>
  <si>
    <t>repair service, watches repair</t>
  </si>
  <si>
    <t>2023: 95, 2024: 105, 2025: 99</t>
  </si>
  <si>
    <t>574143-94</t>
  </si>
  <si>
    <t>Fish Brothers Group</t>
  </si>
  <si>
    <t>114 High Street Walthamstow</t>
  </si>
  <si>
    <t>E17 7JY</t>
  </si>
  <si>
    <t>Fish Brothers Limited, Fish Brothers, Limited</t>
  </si>
  <si>
    <t>Fish Brothers Group Limited</t>
  </si>
  <si>
    <t>00081027</t>
  </si>
  <si>
    <t>Operator of a pawnbroking business that offers repairs for watches and jewellery, watch battery replacement, safety deposit boxes for rent, and the purchase of pre-owned watches and jewellery. The company is FCA compliant and a member of the NPA.</t>
  </si>
  <si>
    <t>2019: 84, 2020: 78, 2021: 69, 2022: 63, 2023: 61, 2024: 59</t>
  </si>
  <si>
    <t>141120-28</t>
  </si>
  <si>
    <t>Merlin Cinemas</t>
  </si>
  <si>
    <t>British Film Institute (www.bfi.org.uk)</t>
  </si>
  <si>
    <t>British Film Institute</t>
  </si>
  <si>
    <t>The company received GBP 899,600 of grant funding from British Film Institute on December 24, 2020.</t>
  </si>
  <si>
    <t>268193-62P</t>
  </si>
  <si>
    <t>Geoffrey Greaves</t>
  </si>
  <si>
    <t>Owner, Managing Director &amp; Board Member</t>
  </si>
  <si>
    <t>geoffrey.greaves@merlincinemas.co.uk</t>
  </si>
  <si>
    <t>+44 (0)12 0931 5161</t>
  </si>
  <si>
    <t>Redruth, United Kingdom</t>
  </si>
  <si>
    <t>Regal Cinema</t>
  </si>
  <si>
    <t>Fore Street, Cornwall</t>
  </si>
  <si>
    <t>Redruth</t>
  </si>
  <si>
    <t>TR15 2AZ</t>
  </si>
  <si>
    <t>info@merlincinemas.co.uk</t>
  </si>
  <si>
    <t>MC</t>
  </si>
  <si>
    <t>Merlin Cinemas Ltd.</t>
  </si>
  <si>
    <t>03664605</t>
  </si>
  <si>
    <t>Operator of a chain of movie theatres in England, UK. The company is committed to offering optimal quality entertainment for local people and visitors alike at its distinct locations in Cornwall, Devon, Gloucestershire, Norfolk, Wales and Northern Scotland, enabling people from across the United Kingdom to book their favorite shows and movies online to watch them at their closest theatres.</t>
  </si>
  <si>
    <t>Media</t>
  </si>
  <si>
    <t>Movies, Music and Entertainment</t>
  </si>
  <si>
    <t>Movies, Music and Entertainment*</t>
  </si>
  <si>
    <t>TMT</t>
  </si>
  <si>
    <t>entertainment, movie theatre, movie theatre operator, movie theatre service, movies</t>
  </si>
  <si>
    <t>2019: 289, 2020: 286, 2021: 219, 2022: 233, 2023: 267, 2024: 287</t>
  </si>
  <si>
    <t>216216-28</t>
  </si>
  <si>
    <t>Tempka</t>
  </si>
  <si>
    <t>Evreux, France</t>
  </si>
  <si>
    <t>Rue Du Bois Des Communes</t>
  </si>
  <si>
    <t>Zone Activite Commerciale</t>
  </si>
  <si>
    <t>Evreux</t>
  </si>
  <si>
    <t>Normandie</t>
  </si>
  <si>
    <t>27000</t>
  </si>
  <si>
    <t>397601220</t>
  </si>
  <si>
    <t>Retailer of watches, jewelry, and leather goods for men and women. The company offers products from various brands, including Casio, Calvin Klein, Michael Kors, and Tommy Hilfiger. Services include standard shipping, resizing, and a 2-year warranty.</t>
  </si>
  <si>
    <t>2018: 65, 2019: 83</t>
  </si>
  <si>
    <t>505958-95</t>
  </si>
  <si>
    <t>Cranbrook (1932)</t>
  </si>
  <si>
    <t>Leicester, United Kingdom</t>
  </si>
  <si>
    <t>8 Haymarket</t>
  </si>
  <si>
    <t>Leicester</t>
  </si>
  <si>
    <t>LE1 3GD</t>
  </si>
  <si>
    <t>Cranbrook (1932) Limited</t>
  </si>
  <si>
    <t>11562390</t>
  </si>
  <si>
    <t>Retailer of new and pre-owned diamond and gold jewellery, luxury watches, and designer jewellery, with pawnbroking services and repair and valuation offerings. The business has seven stores located in Basildon, Romford, Ilford, Southend, Nottingham, Leicester, and Peterborough.</t>
  </si>
  <si>
    <t>Holding Companies</t>
  </si>
  <si>
    <t>Holding Companies*</t>
  </si>
  <si>
    <t>2019: 65, 2021: 63, 2022: 63, 2023: 68, 2024: 68</t>
  </si>
  <si>
    <t>217872-82</t>
  </si>
  <si>
    <t>Emson Haig</t>
  </si>
  <si>
    <t>Pearl Assurance House 319 Ballards Lane</t>
  </si>
  <si>
    <t>N12 8LY</t>
  </si>
  <si>
    <t>Recordshield Limited</t>
  </si>
  <si>
    <t>Emson Haig Limited</t>
  </si>
  <si>
    <t>02560938</t>
  </si>
  <si>
    <t>Retailer of luxury watches and jewelry, including wedding and designer pieces, with showrooms in Colchester. Emson Haig is authorized and regulated by the Financial Conduct Authority and offers credit subject to status and affordability.</t>
  </si>
  <si>
    <t>auto service, content branding, content services, customer content, other service, range service, shopping mall, shopping service, text service</t>
  </si>
  <si>
    <t>2018: 101, 2019: 88, 2020: 77, 2021: 80, 2022: 73</t>
  </si>
  <si>
    <t>220231-45</t>
  </si>
  <si>
    <t>H.L. Brown &amp; Son</t>
  </si>
  <si>
    <t>Sheffield, United Kingdom</t>
  </si>
  <si>
    <t>2 Barker's Pool South Yorkshire</t>
  </si>
  <si>
    <t>Sheffield</t>
  </si>
  <si>
    <t>S1 1LZ</t>
  </si>
  <si>
    <t>H.L. Brown &amp; Son Limited</t>
  </si>
  <si>
    <t>00111164</t>
  </si>
  <si>
    <t>Retailer of jewelry and watches with repair services. H.L. Brown offers a variety of jewelry, including bracelets, necklaces, rings, and watches. The company is an official retailer of Rolex watches and has expanded to include branches in Doncaster, Derby, and London since its founding in 1861.</t>
  </si>
  <si>
    <t>business newsletter, business problems, business registration, company registration, family office, polished diamond, single family, sound quality, stores email</t>
  </si>
  <si>
    <t>2019: 49, 2020: 53, 2021: 50, 2022: 49, 2023: 52, 2024: 51</t>
  </si>
  <si>
    <t>169783-66</t>
  </si>
  <si>
    <t>Star Struck (Apparel and Accessories)</t>
  </si>
  <si>
    <t>The company completed its initial public offering on the Over-the-Counter Pink Sheet stock exchange under the ticker symbol of SRSK on March 17, 1992.</t>
  </si>
  <si>
    <t>TTM 3Q2002</t>
  </si>
  <si>
    <t>Bethel, CT</t>
  </si>
  <si>
    <t>8 FJ Clarke Circle</t>
  </si>
  <si>
    <t>Bethel</t>
  </si>
  <si>
    <t>06801</t>
  </si>
  <si>
    <t>+1 (203) 778-4925</t>
  </si>
  <si>
    <t>+1 (914) 833-1068</t>
  </si>
  <si>
    <t>SBM Industries Inc, Speed o Print Business Machines Corp, Star Stuck Ltd</t>
  </si>
  <si>
    <t>Star Struck Ltd</t>
  </si>
  <si>
    <t>Star Struck Ltd Is engaged in the distribution of watch batteries and related products, and sports apparel. The Company's operating subsidiary is Star Struck, Inc., a Connecticut corporation (SSI), whose principal offices are in Bethel, Connecticut.</t>
  </si>
  <si>
    <t>electrical apparatus, equipment, wire</t>
  </si>
  <si>
    <t>1991: 28, 1992: 51, 1993: 50, 1994: 50, 1995: 50, 1996: 50, 1997: 70, 1998: 60, 1999: 60, 2000: 60, 2001: 55</t>
  </si>
  <si>
    <t>511446-25</t>
  </si>
  <si>
    <t>Przedsiębiorstwo Budowlane Zur</t>
  </si>
  <si>
    <t>FY 2009</t>
  </si>
  <si>
    <t>Gliwice, Poland</t>
  </si>
  <si>
    <t>Toruńska 7</t>
  </si>
  <si>
    <t>Gliwice</t>
  </si>
  <si>
    <t>44-100</t>
  </si>
  <si>
    <t>Przedsiębiorstwo Budowlane Zur Sp. Z O.O.</t>
  </si>
  <si>
    <t>149604</t>
  </si>
  <si>
    <t>Publisher of watch-related content aimed at watch enthusiasts. The platform provides articles, reviews, buying guides, and brand histories, serving individuals interested in horology and watch collecting. The website offers a comprehensive resource for both casual readers and serious collectors seeking in-depth information about watches.</t>
  </si>
  <si>
    <t>Construction and Engineering</t>
  </si>
  <si>
    <t>Construction and Engineering*</t>
  </si>
  <si>
    <t>2007: 100, 2008: 100, 2009: 80</t>
  </si>
  <si>
    <t>208620-46</t>
  </si>
  <si>
    <t>Brudolff Hotels</t>
  </si>
  <si>
    <t>Aberdeen, United Kingdom</t>
  </si>
  <si>
    <t>The Craighaar Hotel, Waterton Road, Bankhead</t>
  </si>
  <si>
    <t>Aberdeen</t>
  </si>
  <si>
    <t>AB21 9HS</t>
  </si>
  <si>
    <t>Brudloff Hotels Limited, Shetland Wines Limited</t>
  </si>
  <si>
    <t>Brudolff Hotels Limited</t>
  </si>
  <si>
    <t>SC094745</t>
  </si>
  <si>
    <t>Operator of hotels in Shetland and Aberdeen, providing accommodation, dining, and conference facilities. The entity's hotels include Kveldsro Hotel, Lerwick Hotel, Shetland Hotel, and Craighaar Hotel. Shetland offers a variety of activities such as walking, cycling, touring, birdspotting, nature watching, fishing, photography, and art. The hotels in Lerwick provide modern amenities and serve as a base location for visitors to explore Shetland by air or ferry.</t>
  </si>
  <si>
    <t>Restaurants, Hotels and Leisure</t>
  </si>
  <si>
    <t>Hotels and Resorts</t>
  </si>
  <si>
    <t>Hotels and Resorts*</t>
  </si>
  <si>
    <t>art community, art gallery, business hotel, company information, copy paper, free internet, hotel business, hotel company, hotel information</t>
  </si>
  <si>
    <t>2019: 100, 2020: 95, 2021: 65, 2022: 64, 2023: 82, 2024: 90</t>
  </si>
  <si>
    <t>431786-17</t>
  </si>
  <si>
    <t>Newtral Media Audiovisual</t>
  </si>
  <si>
    <t>274706-74P</t>
  </si>
  <si>
    <t>Ana Pastor</t>
  </si>
  <si>
    <t>Founder</t>
  </si>
  <si>
    <t>ana.pastor@newtral.es</t>
  </si>
  <si>
    <t>+34 91 088 8600</t>
  </si>
  <si>
    <t>Madrid, Spain</t>
  </si>
  <si>
    <t>C / Vandergoten 1</t>
  </si>
  <si>
    <t>28014</t>
  </si>
  <si>
    <t>info@newtral.es</t>
  </si>
  <si>
    <t>Newtral Media Audiovisual, S. L.</t>
  </si>
  <si>
    <t>B87938304</t>
  </si>
  <si>
    <t>Operator of a media production house intended to create audiovisual content. The company's services include production of programs for television and platforms, new narratives in social networks, innovation in journalism through fact-checking and data verification, enabling audiences to watch relatable content.</t>
  </si>
  <si>
    <t>Broadcasting, Radio and Television</t>
  </si>
  <si>
    <t>Broadcasting, Radio and Television*</t>
  </si>
  <si>
    <t>audio visual content, audiovisuals producer, data verification services, television production company, television production house</t>
  </si>
  <si>
    <t>2021: 77</t>
  </si>
  <si>
    <t>208328-14</t>
  </si>
  <si>
    <t>Optinett</t>
  </si>
  <si>
    <t>427992-49P</t>
  </si>
  <si>
    <t>Kenza Merrouche</t>
  </si>
  <si>
    <t>General Manager</t>
  </si>
  <si>
    <t>Villeurbanne, France</t>
  </si>
  <si>
    <t>31 Rue De Verdun</t>
  </si>
  <si>
    <t>Villeurbanne</t>
  </si>
  <si>
    <t>Auvergne-Rhone-Alpes</t>
  </si>
  <si>
    <t>69100</t>
  </si>
  <si>
    <t>392531554</t>
  </si>
  <si>
    <t>Retailer of eyewear products and accessories in Chamonix Mont-Blanc. IceOptic offers a curated selection of sunglasses, eyeglasses, ski goggles, watches, observation equipment, and helmets. They also provide replacement lenses and maintenance services. The store has two physical locations and an online store with free shipping for orders over €69 in France. Opticians curate the selection based on technical criteria and personal preferences, and offer advice and support for customers.</t>
  </si>
  <si>
    <t>2020: 75, 2021: 75, 2022: 198</t>
  </si>
  <si>
    <t>Stem Proprete</t>
  </si>
  <si>
    <t>225059-95</t>
  </si>
  <si>
    <t>Furnace Farm</t>
  </si>
  <si>
    <t>Derby, United Kingdom</t>
  </si>
  <si>
    <t>St Helen's House King Street Shire</t>
  </si>
  <si>
    <t>Derby</t>
  </si>
  <si>
    <t>DE1 3EE</t>
  </si>
  <si>
    <t>Intense Softwear Limited</t>
  </si>
  <si>
    <t>Furnace Farm Limited</t>
  </si>
  <si>
    <t>05597877</t>
  </si>
  <si>
    <t>Operator of a holiday cottage and working family farm, providing a unique accommodation experience in a scenic countryside setting. The farm features Thresher Cottage, a converted barn that accommodates up to six guests. The farm spans 100 acres and focuses on livestock farming, specifically a herd of British Blue cows, serving visitors seeking a rural getaway. The location within the North York Moors National Park offers access to various outdoor activities, including walking, bird watching, cycling, and fishing in the farm's river, the Esk.</t>
  </si>
  <si>
    <t>birds watching, cycling holiday, holiday house, iron parts, kitchen garden, local site, lounge area, mixed use, wildlife conservation</t>
  </si>
  <si>
    <t>2016: 93, 2017: 67</t>
  </si>
  <si>
    <t>554591-98</t>
  </si>
  <si>
    <t>Astraline</t>
  </si>
  <si>
    <t>Stockport, United Kingdom</t>
  </si>
  <si>
    <t>Three Acres Lane</t>
  </si>
  <si>
    <t>Stockport</t>
  </si>
  <si>
    <t>SK8 6RL</t>
  </si>
  <si>
    <t>13997058</t>
  </si>
  <si>
    <t>Operator of a UK-based technology-enabled care service, providing personal alarm services and telecare solutions to customers seeking to live independently in their own homes. The entity offers a range of products, including personal alarms, watches, and pebbles, with 24/7 monitoring and quick response times. Accreditations by the TSA and certification by the Quality Standards Framework attest to over 20 years of industry experience.</t>
  </si>
  <si>
    <t>Hospitals/Inpatient Services</t>
  </si>
  <si>
    <t>Hospitals/Inpatient Services*</t>
  </si>
  <si>
    <t>lone workers monitoring, out of hours calling handles, personal alarm, technology enabled care services</t>
  </si>
  <si>
    <t>2024: 64</t>
  </si>
  <si>
    <t>65121-67</t>
  </si>
  <si>
    <t>Cristian Lay</t>
  </si>
  <si>
    <t>FY 2020</t>
  </si>
  <si>
    <t>235305-73P</t>
  </si>
  <si>
    <t>Ricardo Leal</t>
  </si>
  <si>
    <t>rleal@cristianlay.com</t>
  </si>
  <si>
    <t>+34 92 456 9100</t>
  </si>
  <si>
    <t>Badajoz, Spain</t>
  </si>
  <si>
    <t>Carretera de Badajoz</t>
  </si>
  <si>
    <t>Badajoz</t>
  </si>
  <si>
    <t>06380</t>
  </si>
  <si>
    <t>Cristian Lay, S.A.</t>
  </si>
  <si>
    <t>B03963311</t>
  </si>
  <si>
    <t>Cristian Lay designs jewelry by using traditional techniques. The company provides items of jewelry, fashion jewelry and watches as well as cosmetic products and accessories making it the leading company in terms of catalog selling. It includes factories of jewelry-making in Europe and its own manufacturing site for cosmetic products called: PERSEIDA BELLEZA.</t>
  </si>
  <si>
    <t>manufacturing</t>
  </si>
  <si>
    <t>2020: 1600</t>
  </si>
  <si>
    <t>471109-96</t>
  </si>
  <si>
    <t>Rabat</t>
  </si>
  <si>
    <t>Barcelona, Spain</t>
  </si>
  <si>
    <t>Paseo de Gracia 94</t>
  </si>
  <si>
    <t>Barcelona</t>
  </si>
  <si>
    <t>+34 93 467 5871</t>
  </si>
  <si>
    <t>info@rabat.net</t>
  </si>
  <si>
    <t>Rabat Online SL</t>
  </si>
  <si>
    <t>B63829402</t>
  </si>
  <si>
    <t>Operator of jewelry stores intended to help people celebrate moments with their loved ones. The company offers rings, earrings, bracelets and necklaces in gold with a selection of diamonds and precious stones, enabling customers to have access to a range of products online.</t>
  </si>
  <si>
    <t>Accessories*, Internet Retail, Luxury Goods</t>
  </si>
  <si>
    <t>gold watches, jewelry collection, jewelry gold, jewelry items, jewelry online</t>
  </si>
  <si>
    <t>2021: 458, 2023: 216</t>
  </si>
  <si>
    <t>387229-42</t>
  </si>
  <si>
    <t>Safe Watch</t>
  </si>
  <si>
    <t>Canon City, CO</t>
  </si>
  <si>
    <t>815 Garden Park Rd</t>
  </si>
  <si>
    <t>Canon City</t>
  </si>
  <si>
    <t>Colorado</t>
  </si>
  <si>
    <t>81212-8315</t>
  </si>
  <si>
    <t>+1 (719) 276-1105</t>
  </si>
  <si>
    <t>Safe Watch, Inc.</t>
  </si>
  <si>
    <t>Safe Watch is a Canon City, CO based private company whose line of business is Nursing/personal care</t>
  </si>
  <si>
    <t>Elder and Disabled Care</t>
  </si>
  <si>
    <t>Elder and Disabled Care*, Other Commercial Services</t>
  </si>
  <si>
    <t>2019: 92</t>
  </si>
  <si>
    <t>553534-57</t>
  </si>
  <si>
    <t>AGSUS Security</t>
  </si>
  <si>
    <t>Wilhelmstraße 22</t>
  </si>
  <si>
    <t>13593</t>
  </si>
  <si>
    <t>AGSUS Security GmbH</t>
  </si>
  <si>
    <t>HRB 86623 B</t>
  </si>
  <si>
    <t>Operator of security and protection services in Germany. AGSUS Security GmbH provides object and personal protection, reception services, limousine service, event security, and fire watch. The company has 15 locations across the country and is TÜV certified.</t>
  </si>
  <si>
    <t>Security Services (B2B)*</t>
  </si>
  <si>
    <t>fire guarding, object protection, personal protection, receiving service, security service, site surveillance</t>
  </si>
  <si>
    <t>2010: 200, 2011: 200, 2012: 200, 2013: 200, 2014: 200, 2015: 200, 2016: 200, 2017: 200, 2018: 200, 2019: 200, 2020: 568, 2021: 672, 2022: 733</t>
  </si>
  <si>
    <t>466694-29</t>
  </si>
  <si>
    <t>Marcaria.com</t>
  </si>
  <si>
    <t>263529-10P</t>
  </si>
  <si>
    <t>Felipe Montebrun</t>
  </si>
  <si>
    <t>President</t>
  </si>
  <si>
    <t>montebrunf@marcaria.com</t>
  </si>
  <si>
    <t>Miami, FL</t>
  </si>
  <si>
    <t>8345 Northwest 66 Street</t>
  </si>
  <si>
    <t>Suite B1673</t>
  </si>
  <si>
    <t>Miami</t>
  </si>
  <si>
    <t>Florida</t>
  </si>
  <si>
    <t>33166-7896</t>
  </si>
  <si>
    <t>+1 (305) 675-2956</t>
  </si>
  <si>
    <t>info@marcaria.com</t>
  </si>
  <si>
    <t>Marcaria</t>
  </si>
  <si>
    <t>Marcaria.com International, Inc.</t>
  </si>
  <si>
    <t>Operator of a brand protection company specialized in global trademark and domain name registration. The company's expertise includes domain management, trademark management, trademark renewals, hosting services and trademark watch, enabling individuals, lawyers and organizations to protect their brands and prevent misbranding.</t>
  </si>
  <si>
    <t>IT Services</t>
  </si>
  <si>
    <t>IT Consulting and Outsourcing</t>
  </si>
  <si>
    <t>IT Consulting and Outsourcing*, Other Commercial Services, Systems and Information Management</t>
  </si>
  <si>
    <t>domain registration, domain registration services, trademark protection, trademark registration, trademark renewal</t>
  </si>
  <si>
    <t>2021: 67, 2022: 79, 2023: 80, 2024: 79, 2025: 74</t>
  </si>
  <si>
    <t>134781-58</t>
  </si>
  <si>
    <t>A. Lange &amp; Shne</t>
  </si>
  <si>
    <t>Sacramento, CA</t>
  </si>
  <si>
    <t>Sacramento</t>
  </si>
  <si>
    <t>California</t>
  </si>
  <si>
    <t>95834</t>
  </si>
  <si>
    <t>+1 (916) 447-6337</t>
  </si>
  <si>
    <t>Developer and retailer of luxury timepieces. A. Lange &amp; Söhne creates high-end watches, including chronographs, calendar watches, tourbillon watches, and moon phase watches. The entity operates multiple boutiques globally and provides services such as watch registration, care and handling, overhaul and repair, and customer service.</t>
  </si>
  <si>
    <t>Social/Platform Software</t>
  </si>
  <si>
    <t>Social/Platform Software*</t>
  </si>
  <si>
    <t>advertising analytics, customer service, visual inspection</t>
  </si>
  <si>
    <t>2006: 327, 2007: 383, 2008: 436, 2009: 474, 2010: 434, 2011: 417, 2012: 460, 2013: 508, 2014: 577, 2015: 638, 2016: 656, 2017: 646, 2018: 617, 2020: 600</t>
  </si>
  <si>
    <t>306124-57</t>
  </si>
  <si>
    <t>ACSYS Lasertechnik</t>
  </si>
  <si>
    <t>280205-56P</t>
  </si>
  <si>
    <t>Gerhard Kimmel</t>
  </si>
  <si>
    <t>Founder, Owner &amp; Managing Director</t>
  </si>
  <si>
    <t>g.kimmel@acsys.de</t>
  </si>
  <si>
    <t>+49 (0)71 5480 8750</t>
  </si>
  <si>
    <t>Kornwestheim, Germany</t>
  </si>
  <si>
    <t>Leibnizstraße 9</t>
  </si>
  <si>
    <t>Kornwestheim</t>
  </si>
  <si>
    <t>70806</t>
  </si>
  <si>
    <t>+49 (0)71 5480 8751 9</t>
  </si>
  <si>
    <t>kornwestheim@acsys.de</t>
  </si>
  <si>
    <t>ACSYS</t>
  </si>
  <si>
    <t>ACSYS Lasertechnik GmbH</t>
  </si>
  <si>
    <t>HRB 206629</t>
  </si>
  <si>
    <t>Stuttgart District Court</t>
  </si>
  <si>
    <t>Bystronic Deutschland, Asm International, ASM Packaging Systems, Amada, ID Technology, Bystronic Austria, Telesis Technologies, FOBA Laser Marking + Engraving, TRUMPF, Belimed, Panther Industries (Colorado), Domino Printing Sciences, Sick Stegmann, LEIBINGER, The Qioptiq Group, Banner Engineering, Bystronic Group, TYKMA Electrox, Han's Laser Technology Industry Group Company, Zebra Technologies, Cognex, Rofin Sinar Technologies</t>
  </si>
  <si>
    <t>Designer, manufacturer and supplier of laser system solutions and parts designed for processing and machining a wide range of materials in all kinds of industries. The company offers a range of industrial laser machines and also offers maintenance, commissioning and training services for automotive, tools, watch and jewelry, minting, measuring and other industries, enabling clients to achieve business success by offering machines that are designed for process safety and productivity while taking economical requirements into consideration.</t>
  </si>
  <si>
    <t>Machinery (B2B)</t>
  </si>
  <si>
    <t>Machinery (B2B)*</t>
  </si>
  <si>
    <t>industrial laser application, industrial laser product, industrial laser systems, laser solutions, machinery manufacturer, machinery manufacturing company</t>
  </si>
  <si>
    <t>2012: 50, 2013: 50, 2014: 82, 2015: 98, 2016: 98, 2017: 98, 2018: 98, 2019: 104, 2021: 33, 2022: 117</t>
  </si>
  <si>
    <t>Gci Holding</t>
  </si>
  <si>
    <t>129319-84</t>
  </si>
  <si>
    <t>Advanced Professional Security</t>
  </si>
  <si>
    <t>Denver, CO</t>
  </si>
  <si>
    <t>Denver</t>
  </si>
  <si>
    <t>80207</t>
  </si>
  <si>
    <t>+1 (888) 826-7382</t>
  </si>
  <si>
    <t>nfo@advprosecurity.com</t>
  </si>
  <si>
    <t>Provider of security guard and patrol services in Denver, CO and Phoenix, AZ. The privately owned company offers armed and unarmed agents, vehicle patrols, fire watch agents, access control, risk management, and security technology. They specialize in serving commercial facilities, government services, healthcare and public health sector, transportation systems sector, and more. Advanced Professional Security has been operating since 2008.</t>
  </si>
  <si>
    <t>IT Consulting and Outsourcing, Other Commercial Services*</t>
  </si>
  <si>
    <t>Industrials, TMT</t>
  </si>
  <si>
    <t>home security, security, security service, security services</t>
  </si>
  <si>
    <t>2023: 56, 2024: 62, 2025: 64</t>
  </si>
  <si>
    <t>553360-51</t>
  </si>
  <si>
    <t>Affolter Group</t>
  </si>
  <si>
    <t>Malleray, Switzerland</t>
  </si>
  <si>
    <t>Grand Rue 74</t>
  </si>
  <si>
    <t>Malleray</t>
  </si>
  <si>
    <t>Be</t>
  </si>
  <si>
    <t>2735</t>
  </si>
  <si>
    <t>+41 (0)32 491 7000</t>
  </si>
  <si>
    <t>marketing@affoltergroup.ch</t>
  </si>
  <si>
    <t>Manufacturer of high-end watch gears and CNC gear cutting machines based in Malleray, Switzerland. The Groupe AFFOLTER has a 100-year history of expertise in the industry. Their services include rouages horlogers manufacturing, machines-outils production, and digital control commercialization. Additionally, the company offers apprenticeships in technical professions and is a member of the Filière de formation POLYMÉCANICIEN.</t>
  </si>
  <si>
    <t>apprentice polymechanics, manufacturing of clock machinery, tailing machine development and manufacturing, training of apprentices industrial cfc</t>
  </si>
  <si>
    <t>2023: 63</t>
  </si>
  <si>
    <t>632927-35</t>
  </si>
  <si>
    <t>Al Sulaiman Jewellers</t>
  </si>
  <si>
    <t>Doha, Qatar</t>
  </si>
  <si>
    <t>Al Mirqab Al Jadeed Street, Building NO. 3</t>
  </si>
  <si>
    <t>Doha</t>
  </si>
  <si>
    <t>Qatar</t>
  </si>
  <si>
    <t>Middle East</t>
  </si>
  <si>
    <t>Retailer of traditional Qatari jewelry and pre-owned watches with personalized design services. Al Sulaiman Jewellers offers a diverse range of products, including bangles, bracelets, earrings, necklaces, rings, and gold bars. In addition to their retail offerings, the company provides repair and support services. With over 10 stores across Qatar, Al Sulaiman Jewellers has been in business since 1993.</t>
  </si>
  <si>
    <t>2024: 150</t>
  </si>
  <si>
    <t>739979-38</t>
  </si>
  <si>
    <t>Aldo &amp;</t>
  </si>
  <si>
    <t>Lima, Peru</t>
  </si>
  <si>
    <t>Av. Primavera, 785</t>
  </si>
  <si>
    <t>Lima</t>
  </si>
  <si>
    <t>Peru</t>
  </si>
  <si>
    <t>South America</t>
  </si>
  <si>
    <t>Aldo &amp; Co.</t>
  </si>
  <si>
    <t>Retailer and designer of fine jewelry and luxury watches, intended to offer exquisite and timeless pieces. The company provides engagement rings, wedding bands, and high-end jewelry collections, serving customers seeking elegant accessories. Their services include jewelry consultations and maintenance for watches, ensuring a personalized experience for every client. The retailer prioritizes responsible sourcing of materials and features an extensive selection of gemstone options in their products.</t>
  </si>
  <si>
    <t>2024: 51</t>
  </si>
  <si>
    <t>212108-50</t>
  </si>
  <si>
    <t>Allum And Sidaway</t>
  </si>
  <si>
    <t>Shaftesbury, United Kingdom</t>
  </si>
  <si>
    <t>26a High Street Dorset</t>
  </si>
  <si>
    <t>Shaftesbury</t>
  </si>
  <si>
    <t>SP7 8JG</t>
  </si>
  <si>
    <t>Allum And Sidaway Jewellers Limited</t>
  </si>
  <si>
    <t>Allum And Sidaway Limited</t>
  </si>
  <si>
    <t>04950185</t>
  </si>
  <si>
    <t>Operator of five family-owned jewelry stores in the UK, offering a diverse selection of jewelry and watches from top brands. The jeweler provides bespoke jewelry design, interest-free credit, jewelry repairs and alterations, professional ear piercing, and watch servicing and repairs. They also offer a bridal collection, birthstones, and gifts for various occasions. Established in 1942.</t>
  </si>
  <si>
    <t>branding business, bridal wear, business education, collection business, garden shed, news online, online experience, ordering online, retail experience</t>
  </si>
  <si>
    <t>2019: 86, 2020: 66, 2021: 60, 2022: 47, 2023: 50, 2024: 60</t>
  </si>
  <si>
    <t>699272-65</t>
  </si>
  <si>
    <t>Alshaya Watches</t>
  </si>
  <si>
    <t>Riyadh, Saudi Arabia</t>
  </si>
  <si>
    <t>Anas Bin Malek Road</t>
  </si>
  <si>
    <t>Riyadh</t>
  </si>
  <si>
    <t>13521</t>
  </si>
  <si>
    <t>Saudi Arabia</t>
  </si>
  <si>
    <t>Retailer of watch accessories, sunglasses, knives, and perfume, with a variety of brands available for purchase. The online shop features gift cards and a shopping cart, and prices include recurring purchase options.</t>
  </si>
  <si>
    <t>Distributors/Wholesale*, Specialty Retail</t>
  </si>
  <si>
    <t>2024: 63</t>
  </si>
  <si>
    <t>127306-81</t>
  </si>
  <si>
    <t>Alyasra Fashion</t>
  </si>
  <si>
    <t>Houston, TX</t>
  </si>
  <si>
    <t>Houston</t>
  </si>
  <si>
    <t>77008</t>
  </si>
  <si>
    <t>+1 (713) 880-8791</t>
  </si>
  <si>
    <t>Operator of a fashion retail company with a portfolio of 60+ international brands in fashion, footwear, and accessories. The company operates 270+ stores across the MENA region and offers a range of products through its retail divisions, including watches and jewelry, premium fashion and lingerie, fashion and footwear, and e-commerce and omni-channel.</t>
  </si>
  <si>
    <t>clothing branding, designer jewelry, fashion branding, fashion house</t>
  </si>
  <si>
    <t>2022: 1045, 2023: 1274, 2024: 1323, 2025: 1370</t>
  </si>
  <si>
    <t>545268-88</t>
  </si>
  <si>
    <t>Ankara Patent</t>
  </si>
  <si>
    <t>Ankara, Turkey</t>
  </si>
  <si>
    <t>Mustafa Kemal Mahallesi, Dumlupınar Bulvarı</t>
  </si>
  <si>
    <t>Ankara</t>
  </si>
  <si>
    <t>Çankaya</t>
  </si>
  <si>
    <t>06530</t>
  </si>
  <si>
    <t>Turkey</t>
  </si>
  <si>
    <t>The company primarily operates in the Legal Services (B2B) industry. Ankara Patent was founded in 1964 and is headquartered in Ankara, Turkey.</t>
  </si>
  <si>
    <t>Legal Services (B2B)</t>
  </si>
  <si>
    <t>Legal Services (B2B)*, Media and Information Services (B2B)</t>
  </si>
  <si>
    <t>filing and prosecution, search and watches services</t>
  </si>
  <si>
    <t>2023: 86</t>
  </si>
  <si>
    <t>609659-56</t>
  </si>
  <si>
    <t>Anton Brocker</t>
  </si>
  <si>
    <t>Monchengladbach, Germany</t>
  </si>
  <si>
    <t>Schillerstrasse 41 - 43</t>
  </si>
  <si>
    <t>Monchengladbach</t>
  </si>
  <si>
    <t>North Rhine-Westphalia</t>
  </si>
  <si>
    <t>41061</t>
  </si>
  <si>
    <t>Anton Brocker GmbH</t>
  </si>
  <si>
    <t>HRB 1715</t>
  </si>
  <si>
    <t>Mönchengladbach District Court</t>
  </si>
  <si>
    <t>Operator of pawn and jewelry retail services for individuals seeking financial solutions. The company provides pawn loans on valuables like jewelry, watches, and gold, alongside a jewelry store that sells both new and pre-owned items. Their offerings include jewelry repair and customization services, serving clients throughout North Rhine-Westphalia. The company operates multiple locations to meet diverse customer needs in the region.</t>
  </si>
  <si>
    <t>2009: 10, 2010: 10, 2011: 10, 2012: 10, 2013: 10, 2014: 18, 2015: 18, 2016: 18, 2017: 18, 2018: 18, 2019: 18, 2020: 50</t>
  </si>
  <si>
    <t>699015-88</t>
  </si>
  <si>
    <t>Arab Computers</t>
  </si>
  <si>
    <t>Fatimah Al Zahra Street</t>
  </si>
  <si>
    <t>Arab Computers Co.</t>
  </si>
  <si>
    <t>Authorized distributor of Apple products and accessories, serving Arabic-speaking region. The entity offers Apple Watch, Mac computers, and AppleCare for Enterprise. Product and service information available on the website.</t>
  </si>
  <si>
    <t>Computer Hardware</t>
  </si>
  <si>
    <t>Computers, Parts and Peripherals</t>
  </si>
  <si>
    <t>Computers, Parts and Peripherals*</t>
  </si>
  <si>
    <t>2024: 81</t>
  </si>
  <si>
    <t>263344-06</t>
  </si>
  <si>
    <t>Arizona Athletics</t>
  </si>
  <si>
    <t>Tucson, AZ</t>
  </si>
  <si>
    <t>Tucson</t>
  </si>
  <si>
    <t>Arizona</t>
  </si>
  <si>
    <t>85721</t>
  </si>
  <si>
    <t>Provider of information and resources for University of Arizona Athletics. The website offers details on various sports teams, including baseball, basketball, football, golf, gymnastics, soccer, softball, swimming and diving, tennis, track and field, volleyball, and triathlon. It also provides academic and career development services for student-athletes, as well as information on facilities, traditions, and alumni. Users can purchase tickets, view schedules, and access social media and video content.</t>
  </si>
  <si>
    <t>Other Media</t>
  </si>
  <si>
    <t>Other Media*</t>
  </si>
  <si>
    <t>watches video</t>
  </si>
  <si>
    <t>2025: 207</t>
  </si>
  <si>
    <t>619476-22</t>
  </si>
  <si>
    <t>Attar United</t>
  </si>
  <si>
    <t>Jeddah, Saudi Arabia</t>
  </si>
  <si>
    <t>Abdul Rahman Al Tubaishi St, Al Andalus, P.O. Box 15958</t>
  </si>
  <si>
    <t>Jeddah</t>
  </si>
  <si>
    <t>Western</t>
  </si>
  <si>
    <t>21454</t>
  </si>
  <si>
    <t>Retailer of luxury watches and jewelry in Saudi Arabia, with partnerships with high-end brands including Chopard, Hublot, and Graff. The company's certified after-sales experts provide expert service and support.</t>
  </si>
  <si>
    <t>2024: 55</t>
  </si>
  <si>
    <t>546061-60</t>
  </si>
  <si>
    <t>Aurora Expeditions</t>
  </si>
  <si>
    <t>Surry Hills, Australia</t>
  </si>
  <si>
    <t>Suite 12, Level 2 35 Buckingham Street</t>
  </si>
  <si>
    <t>Surry Hills</t>
  </si>
  <si>
    <t>New South Wales</t>
  </si>
  <si>
    <t>2010</t>
  </si>
  <si>
    <t>Australia</t>
  </si>
  <si>
    <t>+61 (0)2 9252 1033</t>
  </si>
  <si>
    <t>info@auroraexpeditions.com.au</t>
  </si>
  <si>
    <t>Oceania</t>
  </si>
  <si>
    <t>Organizer of expeditions to remote regions like Antarctica and the Arctic. The company offers a range of expeditions, including discovery voyages, ultimate adventures, and extension tours. Activities include sea kayaking, snowshoeing, skiing/snowboarding touring, scuba diving, snorkeling, and more. Onboard activities include informative lectures, wildlife watching, gym, spa &amp; sauna, onboard dining, and photography programs. The company also has a citizen science program and prioritizes sustainability.</t>
  </si>
  <si>
    <t>Other Restaurants, Hotels and Leisure</t>
  </si>
  <si>
    <t>Other Restaurants, Hotels and Leisure*</t>
  </si>
  <si>
    <t>arctic - spitsbergen &amp; greenland, australia's kimberley coast, costa rica, ecuador amazon &amp; galapagos island, scotland &amp; norway, scuba diving, south georgia</t>
  </si>
  <si>
    <t>2023: 102</t>
  </si>
  <si>
    <t>147567-25</t>
  </si>
  <si>
    <t>Avante Security Inc - An Avante Logixx</t>
  </si>
  <si>
    <t>Toronto, Canada</t>
  </si>
  <si>
    <t>1959 Leslie Street</t>
  </si>
  <si>
    <t>North York</t>
  </si>
  <si>
    <t>Toronto</t>
  </si>
  <si>
    <t>Ontario</t>
  </si>
  <si>
    <t>M3B 2M3</t>
  </si>
  <si>
    <t>Canada</t>
  </si>
  <si>
    <t>+1 (416) 923-6984</t>
  </si>
  <si>
    <t>+1 (416) 923-5198</t>
  </si>
  <si>
    <t>info@avantesecurity.com</t>
  </si>
  <si>
    <t>Avante Security Inc.</t>
  </si>
  <si>
    <t>Operator of Canadian security services, including residential and commercial security, executive security, luxury transport, and vacation watch. Avante Security Inc. is a subsidiary of Avante Logixx Inc. (TSXV:XX).</t>
  </si>
  <si>
    <t>Life and Health Insurance, Other Commercial Services*</t>
  </si>
  <si>
    <t>access control, personal security, private investigation, video analytics</t>
  </si>
  <si>
    <t>2024: 100, 2025: 104</t>
  </si>
  <si>
    <t>143621-11</t>
  </si>
  <si>
    <t>Back to Basics Learning Dynamics</t>
  </si>
  <si>
    <t>345064-69P</t>
  </si>
  <si>
    <t>Juli Bennett</t>
  </si>
  <si>
    <t>Co-Owner, Chief Executive Officer &amp; Executive Director</t>
  </si>
  <si>
    <t>juli@backtobasicslearning.com</t>
  </si>
  <si>
    <t>+1 (302) 594-0754</t>
  </si>
  <si>
    <t>Wilmington, DE</t>
  </si>
  <si>
    <t>6 Stone Hill Road</t>
  </si>
  <si>
    <t>Wilmington</t>
  </si>
  <si>
    <t>Delaware</t>
  </si>
  <si>
    <t>19803</t>
  </si>
  <si>
    <t>info@backtobasicslearning.com</t>
  </si>
  <si>
    <t>Back to Basics Learning Dynamics, Inc.</t>
  </si>
  <si>
    <t>Provider of educational services intended to serve one-on-one educational experience. The company offers one and one private tutoring, act and sat test preparation, achieve testing, psychoeducational testing, HS exams and AP exams preparation, consultation in adult education, summer program, watch-and-learn videos and interactive simulations that make learning contextual, visual, and practical, enabling students to receive a personalized educational experience.</t>
  </si>
  <si>
    <t>Services (Non-Financial)</t>
  </si>
  <si>
    <t>Educational and Training Services (B2C)</t>
  </si>
  <si>
    <t>Educational and Training Services (B2C)*</t>
  </si>
  <si>
    <t>ap exams preparation service, educational film, educational services, private tutoring, sat test preparation, tutoring services</t>
  </si>
  <si>
    <t>1989: 12, 2006: 100, 2023: 94, 2024: 99, 2025: 94</t>
  </si>
  <si>
    <t>133386-04</t>
  </si>
  <si>
    <t>Barbagallo Group</t>
  </si>
  <si>
    <t>Bellevue, WA</t>
  </si>
  <si>
    <t>Bellevue</t>
  </si>
  <si>
    <t>Washington</t>
  </si>
  <si>
    <t>98005</t>
  </si>
  <si>
    <t>Operator of a car dealership and service center, providing a range of vehicle services, parts, and accessories. The entity offers pre-owned and new vehicles from multiple brands, as well as after-care, finance, and insurance. The company has two locations in Cannington and Osborne Park, Australia, and also offers Barbagallo Marine and Barbagallo Watch.</t>
  </si>
  <si>
    <t>Commercial Transportation</t>
  </si>
  <si>
    <t>Other Transportation</t>
  </si>
  <si>
    <t>Other Transportation*</t>
  </si>
  <si>
    <t>automotive service, customer service, roadside assistance, vehicle service</t>
  </si>
  <si>
    <t>2024: 93, 2025: 97</t>
  </si>
  <si>
    <t>230145-22</t>
  </si>
  <si>
    <t>Bayerischer Rundfunk</t>
  </si>
  <si>
    <t>236305-99P</t>
  </si>
  <si>
    <t>Ulrich Wilhelm</t>
  </si>
  <si>
    <t>Chief Executive Officer and Managing Director</t>
  </si>
  <si>
    <t>ulrich.wilhelm@br.de</t>
  </si>
  <si>
    <t>+49 (0)89 5900 01</t>
  </si>
  <si>
    <t>Munich, Germany</t>
  </si>
  <si>
    <t>Rundfunkplatz 1</t>
  </si>
  <si>
    <t>Munich</t>
  </si>
  <si>
    <t>80335</t>
  </si>
  <si>
    <t>+49 (0)89 5900 4247 1</t>
  </si>
  <si>
    <t>+49 (0)89 5900 2357 3</t>
  </si>
  <si>
    <t>BR</t>
  </si>
  <si>
    <t>Bavarian Broadcasting Corporation</t>
  </si>
  <si>
    <t>Operator of public-service radio and television broadcasting stations in Germany. The company broadcast radio programs, television shows, popular music and entertainment, news, orchestras, interactive youth programs and other related services, enabling viewers to watch and get entertained by watching the latest shows and channels.</t>
  </si>
  <si>
    <t>broadcasting business, broadcasting firm, broadcasting news, broadcasting program, broadcasting show</t>
  </si>
  <si>
    <t>2020: 3500, 2025: 5000</t>
  </si>
  <si>
    <t>600312-97</t>
  </si>
  <si>
    <t>Belgium Diamonds (Software)</t>
  </si>
  <si>
    <t>398820-16P</t>
  </si>
  <si>
    <t>Sonu Kothari</t>
  </si>
  <si>
    <t>sonu@belgiumdia.com</t>
  </si>
  <si>
    <t>+1 (212) 439-4715</t>
  </si>
  <si>
    <t>New York, NY</t>
  </si>
  <si>
    <t>20 West 47th Street</t>
  </si>
  <si>
    <t>Suite 601</t>
  </si>
  <si>
    <t>New York</t>
  </si>
  <si>
    <t>10036</t>
  </si>
  <si>
    <t>+1 (646) 893-0155</t>
  </si>
  <si>
    <t>info@belgiumdia.com</t>
  </si>
  <si>
    <t>Belgium Diamonds, LLC</t>
  </si>
  <si>
    <t>Developer of online diamond wholesaler based in New York, United States. The company platform offers various shapes of diamonds, including round, princess, cushion, radiant, emerald, and marquise it also provides a wide selection of natural and lab-grown diamonds, as well as watches.</t>
  </si>
  <si>
    <t>Business/Productivity Software</t>
  </si>
  <si>
    <t>Business/Productivity Software*, Distributors/Wholesale</t>
  </si>
  <si>
    <t>diamond dealer, diamond distributor, diamond film, diamond manufacturing, diamond product, diamond production, diamond wholesaler, jewelry firm, jewelry items, jewelry retail</t>
  </si>
  <si>
    <t>2024: 56, 2025: 60</t>
  </si>
  <si>
    <t>135382-24</t>
  </si>
  <si>
    <t>Berkshire Hathaway Homeservices Northern Indiana Real Estate</t>
  </si>
  <si>
    <t>Clarkston, MI</t>
  </si>
  <si>
    <t>Clarkston</t>
  </si>
  <si>
    <t>Michigan</t>
  </si>
  <si>
    <t>48346</t>
  </si>
  <si>
    <t>+1 (248) 625-5700</t>
  </si>
  <si>
    <t>Provider of real estate services in Michigan and Northern Indiana. The agency offers homes for sale and market watch reports with updated listing information. Additionally, they provide articles on Michigan travel destinations and home renovation tips.</t>
  </si>
  <si>
    <t>Real Estate Services (B2C)</t>
  </si>
  <si>
    <t>Buildings and Property, Other Commercial Services, Real Estate Services (B2C)*</t>
  </si>
  <si>
    <t>estate agent, home buy, real estate</t>
  </si>
  <si>
    <t>2024: 65, 2025: 63</t>
  </si>
  <si>
    <t>135090-55</t>
  </si>
  <si>
    <t>Birdlife Australia</t>
  </si>
  <si>
    <t>80205</t>
  </si>
  <si>
    <t>Conservation organization dedicated to protecting and restoring bird habitats and addressing threats to birds. BirdLife Australia offers resources and programs for bird identification and conservation, as well as opportunities for volunteering and supporting campaigns. The organization focuses on specific programs such as Migratory Shorebirds, Urban Birds, and Wetland Birds, and works to protect endangered species like the Regent Honeyeater and Swift Parrot. With a National Office and regional offices across Australia, BirdLife Australia is committed to engaging the public in bird watching and conservation efforts.</t>
  </si>
  <si>
    <t>Education and Training Services (B2B)</t>
  </si>
  <si>
    <t>Education and Training Services (B2B)*</t>
  </si>
  <si>
    <t>data available, data extraction, database application, decision making</t>
  </si>
  <si>
    <t>2024: 114, 2025: 134</t>
  </si>
  <si>
    <t>465940-27</t>
  </si>
  <si>
    <t>Bodega</t>
  </si>
  <si>
    <t>262201-60P</t>
  </si>
  <si>
    <t>Jay Gordon</t>
  </si>
  <si>
    <t>Co-Founder and Co-Owner</t>
  </si>
  <si>
    <t>jay@bdgastore.com</t>
  </si>
  <si>
    <t>+1 (617) 421-1550</t>
  </si>
  <si>
    <t>Boston, MA</t>
  </si>
  <si>
    <t>6 Clearway Street</t>
  </si>
  <si>
    <t>Boston</t>
  </si>
  <si>
    <t>Massachusetts</t>
  </si>
  <si>
    <t>02115</t>
  </si>
  <si>
    <t>Bodega LLC</t>
  </si>
  <si>
    <t>Operator of online retail and boutique retail store intended to bridges the gap between diverse social networks and creates a synthesized virtual community of buyers and sellers. The company offers apparel, footwear, bags, jewelry, watches, wellness products and other related accessories.</t>
  </si>
  <si>
    <t>Internet Retail, Specialty Retail*</t>
  </si>
  <si>
    <t>apparel store, footwear retail online, footwear retail stores, online retail portal, online retailer</t>
  </si>
  <si>
    <t>2021: 39, 2022: 52</t>
  </si>
  <si>
    <t>556934-50</t>
  </si>
  <si>
    <t>BOS112</t>
  </si>
  <si>
    <t>Bernburg, Germany</t>
  </si>
  <si>
    <t>1 Altenburger Chaussee</t>
  </si>
  <si>
    <t>Bernburg</t>
  </si>
  <si>
    <t>Saxony-Anhalt</t>
  </si>
  <si>
    <t>06406</t>
  </si>
  <si>
    <t>HRB 19775</t>
  </si>
  <si>
    <t>Stendal District Court</t>
  </si>
  <si>
    <t>Operator of fire safety and emergency response services for businesses and events. BOS112 provides fire safety watch, first aid and rescue support, and fire department training and certification. With locations in Bernburg and Leichlingen, the entity serves fire departments, emergency responders, and police with expertise and experience.</t>
  </si>
  <si>
    <t>Consulting Services (B2B)</t>
  </si>
  <si>
    <t>Consulting Services (B2B)*</t>
  </si>
  <si>
    <t>2012: 100, 2013: 100, 2014: 112, 2015: 112, 2016: 112, 2017: 112, 2018: 112, 2019: 112, 2020: 112</t>
  </si>
  <si>
    <t>127317-16</t>
  </si>
  <si>
    <t>Boult Wade Tennant</t>
  </si>
  <si>
    <t>Montgomery, AL</t>
  </si>
  <si>
    <t>Montgomery</t>
  </si>
  <si>
    <t>Alabama</t>
  </si>
  <si>
    <t>36117</t>
  </si>
  <si>
    <t>+1 (334) 887-7022</t>
  </si>
  <si>
    <t>+1 (334) 887-7221</t>
  </si>
  <si>
    <t>Operator of a European intellectual property law firm, providing patent and trademark legal services. Boult Wade Tennant offers a comprehensive range of services, including filing and prosecution, infringement and validity, opposition and appeal, dispute management, domain names, enforcement, licenses and assignments, search analysis, registration, online services, records and renewals, and searching and watching. The firm has over 80 attorneys and solicitors across three countries and offers a graduate training program.</t>
  </si>
  <si>
    <t>business park, intellectual property, trade marks</t>
  </si>
  <si>
    <t>2022: 168, 2023: 177, 2024: 181, 2025: 180</t>
  </si>
  <si>
    <t>285401-89</t>
  </si>
  <si>
    <t>Cape Cod Veterinary Specialists</t>
  </si>
  <si>
    <t>Buzzards Bay, MA</t>
  </si>
  <si>
    <t>Buzzards Bay</t>
  </si>
  <si>
    <t>02532</t>
  </si>
  <si>
    <t>+1 (508) 759-5125</t>
  </si>
  <si>
    <t>+1 (508) 759-9861</t>
  </si>
  <si>
    <t>The company primarily operates in the Application Software industry. Cape Cod Veterinary Specialists was founded in 2006 and is headquartered in Buzzards Bay, MA.</t>
  </si>
  <si>
    <t>Application Software</t>
  </si>
  <si>
    <t>Application Software*</t>
  </si>
  <si>
    <t>emergency care, hospital location, side effects, site location, veterinary hospital, watches repair</t>
  </si>
  <si>
    <t>2024: 74, 2025: 73</t>
  </si>
  <si>
    <t>51603-85</t>
  </si>
  <si>
    <t>Capitol Broadcasting Company</t>
  </si>
  <si>
    <t>313359-94P</t>
  </si>
  <si>
    <t>Timothy Steele</t>
  </si>
  <si>
    <t>Chief Financial Officer &amp; Board Member</t>
  </si>
  <si>
    <t>tsteele@capitolbroadcasting.com</t>
  </si>
  <si>
    <t>+1 (919) 890-6000</t>
  </si>
  <si>
    <t>Raleigh, NC</t>
  </si>
  <si>
    <t>2619 Western Boulevard</t>
  </si>
  <si>
    <t>Raleigh</t>
  </si>
  <si>
    <t>North Carolina</t>
  </si>
  <si>
    <t>27606</t>
  </si>
  <si>
    <t>+1 (919) 890-6095</t>
  </si>
  <si>
    <t>CBC</t>
  </si>
  <si>
    <t>Capitol Broadcasting Company, Inc.</t>
  </si>
  <si>
    <t>Operator of a broadcasting company catering to viewers across North Carolina. The company is a diversified communications company that owns and operates WRAL-TV, WRAL digital, WRAZ-TV, WRAZ Digital, WRAL-FM micro space, CBC and wolfpack sports properties, thereby enabling customers to watch a wide variety of content.</t>
  </si>
  <si>
    <t>Broadcasting, Radio and Television*, Buildings and Property</t>
  </si>
  <si>
    <t>2021: 174, 2024: 562, 2025: 574</t>
  </si>
  <si>
    <t>547039-72</t>
  </si>
  <si>
    <t>CASIO UK</t>
  </si>
  <si>
    <t>Wembley, United Kingdom</t>
  </si>
  <si>
    <t>The Hive Building 26 Wembley Park Boulevard</t>
  </si>
  <si>
    <t>Wembley</t>
  </si>
  <si>
    <t>HA9 0HP</t>
  </si>
  <si>
    <t>Manufacturer of watches, calculators, pianos, and other goods. The website offers an advanced search function and a variety of products, including vintage styles and a line of products for care homes. The company has been in operation since 1957.</t>
  </si>
  <si>
    <t>consumer electronics, mobile technology</t>
  </si>
  <si>
    <t>2023: 112, 2024: 116, 2025: 123</t>
  </si>
  <si>
    <t>619310-35</t>
  </si>
  <si>
    <t>Cellular Plus Verizon Authorized Retailer</t>
  </si>
  <si>
    <t>Billings, MT</t>
  </si>
  <si>
    <t>2501 St. Johns Ave, Suite A</t>
  </si>
  <si>
    <t>Billings</t>
  </si>
  <si>
    <t>Montana</t>
  </si>
  <si>
    <t>59102</t>
  </si>
  <si>
    <t>Operator of Verizon authorized retail stores. Cellular Plus offers a wide range of Verizon smartphones, basic phones, smart watches, mobile hot spots, connected devices, and accessories. The company has multiple locations in Montana, Wyoming, Colorado, Washington, and Oregon, serving the needs of Verizon customers in these regions.</t>
  </si>
  <si>
    <t>customer service, retail sales, smart gadgets, wireless accessories, wireless products, wireless sales</t>
  </si>
  <si>
    <t>2024: 213, 2025: 229</t>
  </si>
  <si>
    <t>764083-00</t>
  </si>
  <si>
    <t>Central Protection Services</t>
  </si>
  <si>
    <t>Edmonton, Canada</t>
  </si>
  <si>
    <t>202-3476 93 St NW</t>
  </si>
  <si>
    <t>Edmonton</t>
  </si>
  <si>
    <t>Alberta</t>
  </si>
  <si>
    <t>T6E 6A4</t>
  </si>
  <si>
    <t>+1 (587) 401-3838</t>
  </si>
  <si>
    <t>Central Protection Services Inc.</t>
  </si>
  <si>
    <t>Provider of comprehensive security guard services for enhanced safety and protection. The company offers security solutions for residential, commercial, industrial, healthcare, and event sectors, including mobile patrolling, fire watch security, CCTV monitoring, and cyber security, serving various regions in Canada such as Edmonton, Calgary, Vancouver, and Toronto. The company is affiliated with the Canadian Council for Aboriginal Business and partners with Montana First Nation, providing emergency response and various technological solutions for security.</t>
  </si>
  <si>
    <t>investigation, loss prevention, security guard services</t>
  </si>
  <si>
    <t>Generating Revenue/Not Profitable</t>
  </si>
  <si>
    <t>2025: 75</t>
  </si>
  <si>
    <t>556963-30</t>
  </si>
  <si>
    <t>CETIAT</t>
  </si>
  <si>
    <t>25 avenue des Arts</t>
  </si>
  <si>
    <t>+33 (0)4 72 44 49 00</t>
  </si>
  <si>
    <t>commercial@cetiat.fr</t>
  </si>
  <si>
    <t>Operator of a technical services company for aeraulic and thermal industries. CETIAT specializes in optimizing and designing products and processes, conducting studies, tests, and calibrations, and providing industry professional training. With over 60 years of experience, the independent testing laboratory has unique resources and expertise.</t>
  </si>
  <si>
    <t>Media and Information Services (B2B)</t>
  </si>
  <si>
    <t>Media and Information Services (B2B)*</t>
  </si>
  <si>
    <t>device functionality and security, energy efficiency, inter- and intra-enterprise training, manufacturing unit productivity, quality of interior environments, reduction of environmental impact, technological watches</t>
  </si>
  <si>
    <t>2023: 134</t>
  </si>
  <si>
    <t>557671-96</t>
  </si>
  <si>
    <t>ClipMyHorse.TV</t>
  </si>
  <si>
    <t>398155-87P</t>
  </si>
  <si>
    <t>Markus Detering</t>
  </si>
  <si>
    <t>Co-Chief Executive Officer</t>
  </si>
  <si>
    <t>m.detering@clipmyhorse.tv</t>
  </si>
  <si>
    <t>+49 (0)80 0100 4042</t>
  </si>
  <si>
    <t>Wiesbaden, Germany</t>
  </si>
  <si>
    <t>Wandersmann Straße 68</t>
  </si>
  <si>
    <t>Wiesbaden</t>
  </si>
  <si>
    <t>Hesse</t>
  </si>
  <si>
    <t>65205</t>
  </si>
  <si>
    <t>jugendschutz@clipmyhorse.tv</t>
  </si>
  <si>
    <t>ClipMyHorse.TV Operations GmbH</t>
  </si>
  <si>
    <t>HRB 29085</t>
  </si>
  <si>
    <t>Wiesbaden District Court</t>
  </si>
  <si>
    <t>Operator of an equestrian sports streaming platform intended to provide a one-stop shop for live streams and equestrian events. The company's platform offers a premium experience for equestrian enthusiasts, featuring live streams and on-demand access to a vast library of top international competitions across various disciplines, including show jumping, dressage, and driving, enabling horse lovers to conveniently watch and enjoy equestrian sports from anywhere in the world.</t>
  </si>
  <si>
    <t>Application Software, Broadcasting, Radio and Television*, Publishing</t>
  </si>
  <si>
    <t>Mobile</t>
  </si>
  <si>
    <t>dressage lessons, equestrian app, equestrian content, equestrian show jumping, equestrian sports, sports marketing</t>
  </si>
  <si>
    <t>2014: 6, 2015: 6, 2016: 6, 2017: 6, 2018: 19, 2019: 31, 2020: 39, 2021: 49, 2022: 64, 2024: 124</t>
  </si>
  <si>
    <t>Clipmyhorse.Tv International</t>
  </si>
  <si>
    <t>558205-93</t>
  </si>
  <si>
    <t>Coliseu Joalheria e Ótica</t>
  </si>
  <si>
    <t>Porto Alegre, Brazil</t>
  </si>
  <si>
    <t>Porto Alegre</t>
  </si>
  <si>
    <t>Brazil</t>
  </si>
  <si>
    <t>Manufacturer of jewelry and accessories, including rings, earrings, necklaces, bracelets, and watches. Also offers eyewear products such as glasses and sunglasses.</t>
  </si>
  <si>
    <t>2023: 83</t>
  </si>
  <si>
    <t>633080-44</t>
  </si>
  <si>
    <t>Concepto Watch Factory</t>
  </si>
  <si>
    <t>La Chaux-de-Fonds, Switzerland</t>
  </si>
  <si>
    <t>Rue du Collège 85</t>
  </si>
  <si>
    <t>La Chaux-de-Fonds</t>
  </si>
  <si>
    <t>Neuchâtel</t>
  </si>
  <si>
    <t>2300</t>
  </si>
  <si>
    <t>The company primarily operates in the Luxury Goods industry. Concepto Watch Factory was founded in 2006 and is headquartered in La Chaux-de-Fonds, Switzerland.</t>
  </si>
  <si>
    <t>2024: 57</t>
  </si>
  <si>
    <t>147475-72</t>
  </si>
  <si>
    <t>Continental Diamond</t>
  </si>
  <si>
    <t>Minneapolis, MN</t>
  </si>
  <si>
    <t>Minneapolis</t>
  </si>
  <si>
    <t>Minnesota</t>
  </si>
  <si>
    <t>55416</t>
  </si>
  <si>
    <t>+1 (612) 824-4445</t>
  </si>
  <si>
    <t>Retailer of jewelry, watches, and gifts in Minneapolis, with a focus on custom design and repair services. The store also offers appraisals and insurance options. The company is involved in community support.</t>
  </si>
  <si>
    <t>Buildings and Property, Luxury Goods, Other Retail*</t>
  </si>
  <si>
    <t>custom jewelry, jewelry design, watches repair</t>
  </si>
  <si>
    <t>2024: 50, 2025: 50</t>
  </si>
  <si>
    <t>750443-14</t>
  </si>
  <si>
    <t>Cuxland Ferienparks</t>
  </si>
  <si>
    <t>Wurster Nordseekuste, Germany</t>
  </si>
  <si>
    <t>Sieltrift 37 - 39</t>
  </si>
  <si>
    <t>Wurster Nordseekuste</t>
  </si>
  <si>
    <t>Lower Saxony</t>
  </si>
  <si>
    <t>27639</t>
  </si>
  <si>
    <t>Cuxland Ferienparks GmbH</t>
  </si>
  <si>
    <t>HRB 110924</t>
  </si>
  <si>
    <t>Tostedt District Court</t>
  </si>
  <si>
    <t>Operator of holiday parks at the North Sea coast for diverse vacation experiences. The company offers holiday homes, apartments, and houseboats, serving the Cuxland region of Germany. It provides vacation options for families, couples, and pet owners, along with activities like bird watching, hiking, and wellness treatments. Additional services include booking flexibility and on-site assistance.</t>
  </si>
  <si>
    <t>Real Estate Services (B2C)*</t>
  </si>
  <si>
    <t>2012: 100, 2013: 100, 2014: 100, 2015: 100, 2016: 124, 2017: 124, 2018: 124, 2019: 124, 2020: 124</t>
  </si>
  <si>
    <t>Seier</t>
  </si>
  <si>
    <t>558706-06</t>
  </si>
  <si>
    <t>Dahlinger</t>
  </si>
  <si>
    <t>Lahr, Germany</t>
  </si>
  <si>
    <t>Feuerwehrstr. 9-15</t>
  </si>
  <si>
    <t>Lahr</t>
  </si>
  <si>
    <t>Baden-Wurttemberg</t>
  </si>
  <si>
    <t>77933</t>
  </si>
  <si>
    <t>+49 (0)78 2128 9400</t>
  </si>
  <si>
    <t>online@dahlinger.com</t>
  </si>
  <si>
    <t>Dahlinger GmbH</t>
  </si>
  <si>
    <t>HRB 391030</t>
  </si>
  <si>
    <t>Freiburg District Court</t>
  </si>
  <si>
    <t>Provider of packaging and display solutions for jewelry and watches. The website uses cookies for personalization, social media, advertising, and analytics purposes. The company is committed to sustainability and uses necessary and statistic cookies, but not preference cookies. Marketing cookies are used to track visitors across websites for relevant ads.</t>
  </si>
  <si>
    <t>Materials and Resources</t>
  </si>
  <si>
    <t>Containers and Packaging</t>
  </si>
  <si>
    <t>Other Containers and Packaging</t>
  </si>
  <si>
    <t>Other Containers and Packaging*</t>
  </si>
  <si>
    <t>luxurious packaging, luxury packaging, ornamental packaging, ornamental tablets, outer packaging, packaging design, packaging manufacturer, paper carrier, paper carrier bags, presentation boxes, storage solutions, watches boxes, writing equipment packaging</t>
  </si>
  <si>
    <t>2014: 2, 2015: 2, 2016: 2, 2017: 2, 2018: 2, 2019: 2, 2020: 2, 2021: 2, 2022: 32, 2023: 65</t>
  </si>
  <si>
    <t>558797-23</t>
  </si>
  <si>
    <t>Dasher Malaysia</t>
  </si>
  <si>
    <t>Cheras, Malaysia</t>
  </si>
  <si>
    <t>55, Jalan 30A/119, Taynton View</t>
  </si>
  <si>
    <t>Cheras</t>
  </si>
  <si>
    <t>Kuala Lumpur</t>
  </si>
  <si>
    <t>56000</t>
  </si>
  <si>
    <t>Malaysia</t>
  </si>
  <si>
    <t>Southeast Asia</t>
  </si>
  <si>
    <t>201401042171</t>
  </si>
  <si>
    <t>Suruhanjaya Syarikat Malaysia (SSM)</t>
  </si>
  <si>
    <t>Retailer offering a wide range of home appliances, electronics, and accessories from various brands. The company provides free shipping and exclusive deals for products including mobile accessories, health and beauty products, smart watches, cameras and drones, smart security solutions, sports and outdoor equipment, and audio products.</t>
  </si>
  <si>
    <t>Operating Systems Software</t>
  </si>
  <si>
    <t>Operating Systems Software*</t>
  </si>
  <si>
    <t>2023: 62</t>
  </si>
  <si>
    <t>537138-55</t>
  </si>
  <si>
    <t>Designer Exchange</t>
  </si>
  <si>
    <t>383968-27P</t>
  </si>
  <si>
    <t>Dominic Durante</t>
  </si>
  <si>
    <t>Co-Founder, Chief Executive Officer &amp; Board Member</t>
  </si>
  <si>
    <t>ddurante@uk.designerexchange.com</t>
  </si>
  <si>
    <t>+44 (0)20 7937 3824</t>
  </si>
  <si>
    <t>Watford, United Kingdom</t>
  </si>
  <si>
    <t>Greycaines House 21 Greycaine Road</t>
  </si>
  <si>
    <t>Unit A</t>
  </si>
  <si>
    <t>Watford</t>
  </si>
  <si>
    <t>WD24 7GP</t>
  </si>
  <si>
    <t>Designer Exchange Ltd.</t>
  </si>
  <si>
    <t>08643207</t>
  </si>
  <si>
    <t>Operator of an online retail store designed to offer preloved designer and luxury items. The company's website offers a range of preloved, second-hand products in various categories such as handbags, clothing, shoes, accessories, jewelry, watches, menswear, and more.</t>
  </si>
  <si>
    <t>Internet Retail, Luxury Goods, Specialty Retail*</t>
  </si>
  <si>
    <t>designer goods, luxury bags, luxury goods, preloved clothes, preloved designer products, preloved goods</t>
  </si>
  <si>
    <t>2024: 68, 2025: 72</t>
  </si>
  <si>
    <t>559337-77</t>
  </si>
  <si>
    <t>DIMEP</t>
  </si>
  <si>
    <t>Sao Paulo, Brazil</t>
  </si>
  <si>
    <t>Sao Paulo</t>
  </si>
  <si>
    <t>Sp</t>
  </si>
  <si>
    <t>05311-000</t>
  </si>
  <si>
    <t>Developer of time and access control solutions. DIMEP's software includes time control and access systems, parking systems, and commercial automation. The company has quality certifications and privacy policies in place. Contact information and a quote request form are available on the website.</t>
  </si>
  <si>
    <t>access control, parking system, people control, point record, time watches</t>
  </si>
  <si>
    <t>2023: 623</t>
  </si>
  <si>
    <t>605843-20</t>
  </si>
  <si>
    <t>E. Wilhelm</t>
  </si>
  <si>
    <t>Kappel-Grafenhausen, Germany</t>
  </si>
  <si>
    <t>Fabrikstrasse 25</t>
  </si>
  <si>
    <t>Kappel-Grafenhausen</t>
  </si>
  <si>
    <t>77966</t>
  </si>
  <si>
    <t>E. Wilhelm GmbH</t>
  </si>
  <si>
    <t>HRB 400258</t>
  </si>
  <si>
    <t>Provider of packaging solutions designed to offer sustainable options for jewelry and accessories. The company manufactures and distributes cases, boxes, and displays, serving the jewelry and watch markets. With over 90 years of industry experience, they provide FSC® certified and recyclable packaging options from their production facility in China.</t>
  </si>
  <si>
    <t>Paper Containers and Packaging</t>
  </si>
  <si>
    <t>Paper Containers and Packaging*, Paper/Soft Products</t>
  </si>
  <si>
    <t>2011: 50, 2012: 88, 2013: 77, 2014: 50, 2015: 77, 2016: 50, 2017: 50, 2018: 50, 2019: 67, 2020: 67, 2021: 66, 2022: 74</t>
  </si>
  <si>
    <t>556572-88</t>
  </si>
  <si>
    <t>Ecofin Agency - Agence Ecofin</t>
  </si>
  <si>
    <t>Genève, Switzerland</t>
  </si>
  <si>
    <t>Rue du Léman 6</t>
  </si>
  <si>
    <t>Genève</t>
  </si>
  <si>
    <t>1201</t>
  </si>
  <si>
    <t>+41 (0)22 301 9611</t>
  </si>
  <si>
    <t>redaction@agenceecofin.com</t>
  </si>
  <si>
    <t>The company primarily operates in the Publishing industry. Ecofin Agency - Agence Ecofin was founded in 2011 and is headquartered in Genève, Switzerland.</t>
  </si>
  <si>
    <t>Publishing</t>
  </si>
  <si>
    <t>Publishing*</t>
  </si>
  <si>
    <t>economic survey, newspaper and magazine of institution or company, sector information watches</t>
  </si>
  <si>
    <t>2023: 53</t>
  </si>
  <si>
    <t>426660-22</t>
  </si>
  <si>
    <t>Ecole De Maroquinerie D'avoudrey - E.M.A.</t>
  </si>
  <si>
    <t>Avoudrey, France</t>
  </si>
  <si>
    <t>26 Rue De La Gare</t>
  </si>
  <si>
    <t>Avoudrey</t>
  </si>
  <si>
    <t>25690</t>
  </si>
  <si>
    <t>533225603</t>
  </si>
  <si>
    <t>Manufacturer and distributor of leather goods, including watch straps, bags, and accessories. The entity operates globally with locations in France, Switzerland, Madagascar, Hong Kong, and China. They offer leathercraft training and have an innovation laboratory called "brutus dog's." The entity prioritizes social and environmental responsibility.</t>
  </si>
  <si>
    <t>2024: 1800</t>
  </si>
  <si>
    <t>544942-45</t>
  </si>
  <si>
    <t>Edora Bijoux</t>
  </si>
  <si>
    <t>Online retailer of branded jewelry and watches for men and women. Edora offers a large selection of rings, bracelets, necklaces, and watches in various materials. They provide free delivery with Mondial Relay and a 30-day return policy. Additionally, they offer a variety of brand collections.</t>
  </si>
  <si>
    <t>235405-18</t>
  </si>
  <si>
    <t>Elegant Media</t>
  </si>
  <si>
    <t>314173-81P</t>
  </si>
  <si>
    <t>Anushka Bandara</t>
  </si>
  <si>
    <t>Co-Founder &amp; Chief Executive Officer</t>
  </si>
  <si>
    <t>anushka@elegantmedia.com.au</t>
  </si>
  <si>
    <t>+61 (0)13 0047 0580</t>
  </si>
  <si>
    <t>Melbourne, Australia</t>
  </si>
  <si>
    <t>13/195 Wellington Road</t>
  </si>
  <si>
    <t>Clayton</t>
  </si>
  <si>
    <t>Melbourne</t>
  </si>
  <si>
    <t>Victoria</t>
  </si>
  <si>
    <t>3168</t>
  </si>
  <si>
    <t>+61 (0)3 9546 8124</t>
  </si>
  <si>
    <t>info@elegantmedia.com.au</t>
  </si>
  <si>
    <t>Operator of mobile application development company intended to deliver business solutions for first-time entrepreneurs, government organizations, and large-scale enterprise businesses. The company offers app development for iPhone, android, flutter, and apple watch, and also offers app marketing, web design, custom application development, e-commerce solution, and more, thereby helping clients to bring their app ideas to life.</t>
  </si>
  <si>
    <t>Business/Productivity Software*, Government, IT Consulting and Outsourcing, Media and Information Services (B2B)</t>
  </si>
  <si>
    <t>E-Commerce, Mobile</t>
  </si>
  <si>
    <t>android app development, business solutions, enterprise application development, enterprise application software, mobile app maintenance, software application development, web design</t>
  </si>
  <si>
    <t>2022: 50</t>
  </si>
  <si>
    <t>757726-57</t>
  </si>
  <si>
    <t>Elevation Security</t>
  </si>
  <si>
    <t>Longmont, CO</t>
  </si>
  <si>
    <t>10420 Durango Pl</t>
  </si>
  <si>
    <t>Longmont</t>
  </si>
  <si>
    <t>80504-6448</t>
  </si>
  <si>
    <t>+1 (303) 506-9469</t>
  </si>
  <si>
    <t>Elevation Security Llc</t>
  </si>
  <si>
    <t>Provider of on-site security services. The company offers security solutions including patrol services, alarm monitoring, and fire watch for various sectors such as retail shopping centers, hotels, apartments, student housing, HOAs, schools, offices, hospitals, and events. Operating in Colorado, Wyoming, and Nevada. Description: Provider of on-site security services to various sectors. The company's services include patrol services, alarm monitoring, and fire watch, serving retail shopping centers, hotels, apartments, student housing, HOAs, schools, offices, hospitals, and events in Colorado, Wyoming, and Nevada.</t>
  </si>
  <si>
    <t>2025: 60</t>
  </si>
  <si>
    <t>761819-41</t>
  </si>
  <si>
    <t>EMP SA Ebauches Micromécanique Precitrame</t>
  </si>
  <si>
    <t>Tramelan, Switzerland</t>
  </si>
  <si>
    <t>Rue de la Combe Aubert 3</t>
  </si>
  <si>
    <t>Tramelan</t>
  </si>
  <si>
    <t>Berne</t>
  </si>
  <si>
    <t>2720</t>
  </si>
  <si>
    <t>EMP SA Ebauches Micromécanique Precitrame SA</t>
  </si>
  <si>
    <t>Manufacturer of watch components and microtechnical tools. The company specializes in producing watch blanks, various watch components, and complex microtechnical parts, offering tools and training in microengineering skills. Serving the watchmaking and precision engineering markets.</t>
  </si>
  <si>
    <t>2025: 110</t>
  </si>
  <si>
    <t>753554-80</t>
  </si>
  <si>
    <t>ENIGMA SECURITY SOLUTIONS</t>
  </si>
  <si>
    <t>SHELLEY STOCK HUTTER 1ST FLOOR 7-10 CHANDOS STREET</t>
  </si>
  <si>
    <t>W1G 9DQ</t>
  </si>
  <si>
    <t>ENIGMA SECURITY SOLUTIONS LIMITED</t>
  </si>
  <si>
    <t>05524406</t>
  </si>
  <si>
    <t>Provider of security services aimed at enhancing safety and operational efficiency. The company delivers a comprehensive range of security services both internationally and throughout the United Kingdom. Their offerings include guarding services, key holding and alarm response, mobile patrol, public space CCTV, concierge, front of house, fire watch, dog handling, reception and post room services, and CCTV data protection impact assessments. Serving various sectors including government, police, NHS, automotive industry, media, corporate security sector, critical national infrastructure, utilities, finance, construction, manufacturing, warehousing, and residential.</t>
  </si>
  <si>
    <t>Business Equipment and Supplies</t>
  </si>
  <si>
    <t>Business Equipment and Supplies*</t>
  </si>
  <si>
    <t>2018: 213, 2019: 189, 2020: 176, 2021: 198, 2022: 211, 2023: 253</t>
  </si>
  <si>
    <t>650228-86</t>
  </si>
  <si>
    <t>Fit4 Life</t>
  </si>
  <si>
    <t>Fayetteville, NC</t>
  </si>
  <si>
    <t>2803 ft bragg rd</t>
  </si>
  <si>
    <t>Fayetteville</t>
  </si>
  <si>
    <t>28303</t>
  </si>
  <si>
    <t>Operator of fitness clubs in North Carolina, offering gym facilities, group classes, personal training, and amenities such as child watch/kids zone and a smoothie bar. The company provides a 3-day guest pass for potential members to try out their facilities.</t>
  </si>
  <si>
    <t>personal training, weight loss</t>
  </si>
  <si>
    <t>2024: 176, 2025: 178</t>
  </si>
  <si>
    <t>238896-82</t>
  </si>
  <si>
    <t>Flagship Cruises &amp; Events</t>
  </si>
  <si>
    <t>San Diego, CA</t>
  </si>
  <si>
    <t>San Diego</t>
  </si>
  <si>
    <t>92101</t>
  </si>
  <si>
    <t>Operator of a cruise and events fleet in San Diego, California. The entity offers harbor tours, whale watching, dining cruises, private events, and group rates for weddings, corporate events, and special occasions. Additionally, they prioritize sustainable and environmentally-friendly practices.</t>
  </si>
  <si>
    <t>Leisure Facilities</t>
  </si>
  <si>
    <t>Leisure Facilities*</t>
  </si>
  <si>
    <t>air pollution, armed forces, cruise holiday, family holiday, ferry service, fishing boats, private party, radio service</t>
  </si>
  <si>
    <t>2024: 64, 2025: 69</t>
  </si>
  <si>
    <t>507168-01</t>
  </si>
  <si>
    <t>Fovea IP</t>
  </si>
  <si>
    <t>315542-80P</t>
  </si>
  <si>
    <t>Patrice Vekemans</t>
  </si>
  <si>
    <t>Co-founder, Chief Executive Officer &amp; Chief Commercial Officer</t>
  </si>
  <si>
    <t>patrice.vekemans@foveaip.com</t>
  </si>
  <si>
    <t>+32 (0)2 425 35 37</t>
  </si>
  <si>
    <t>Brussels, Belgium</t>
  </si>
  <si>
    <t>Rue de Stalle, 140A</t>
  </si>
  <si>
    <t>Brussels</t>
  </si>
  <si>
    <t>1180</t>
  </si>
  <si>
    <t>Belgium</t>
  </si>
  <si>
    <t>info@foveaip.com</t>
  </si>
  <si>
    <t>Fovea IP America LLC</t>
  </si>
  <si>
    <t>780625712</t>
  </si>
  <si>
    <t>Crossroads Bank for Enterprises (CBE)</t>
  </si>
  <si>
    <t>Provider of IP rights searching and watching services intended for the IP industry. The company offers customer support, trained analysts, communication channels, and training, enabling IP professionals with search services for trademarks and industrial designs.</t>
  </si>
  <si>
    <t>Business/Productivity Software*, Media and Information Services (B2B)</t>
  </si>
  <si>
    <t>analyst consulting, analyst tools, industrial design, intellectual property data, ip rights management, trademark</t>
  </si>
  <si>
    <t>2022: 200, 2023: 200, 2024: 200</t>
  </si>
  <si>
    <t>157938-40</t>
  </si>
  <si>
    <t>Furbo</t>
  </si>
  <si>
    <t>The company raised $511,302 of product crowdfunding via Indiegogo on June 26, 2016.</t>
  </si>
  <si>
    <t>133903-45P</t>
  </si>
  <si>
    <t>Maggie Cheung</t>
  </si>
  <si>
    <t>Co-Founder &amp; Chief Marketing Officer</t>
  </si>
  <si>
    <t>Torrance, CA</t>
  </si>
  <si>
    <t>3812 Sepulveda Boulevard</t>
  </si>
  <si>
    <t>Suite 505</t>
  </si>
  <si>
    <t>Torrance</t>
  </si>
  <si>
    <t>90505</t>
  </si>
  <si>
    <t>hello.jp@furbo.com</t>
  </si>
  <si>
    <t>Tomofun, LLC</t>
  </si>
  <si>
    <t>Petcube, Pawbo, PupPod</t>
  </si>
  <si>
    <t>Developer of a pet camera for dogs designed to allow help one monitor and interact with their dog via a simple mobile app. The company's pet camera permits the owner to see their dog via the camera, record video, talk to their dog and even give your pup treats for good behavior, enabling pet owners to watch and interact with their pets and offer treat to their dogs through the camera device.</t>
  </si>
  <si>
    <t>Application Software, Electronics (B2C)*</t>
  </si>
  <si>
    <t>Pet Technology, TMT</t>
  </si>
  <si>
    <t>monitoring device, pet camera, pet monitoring</t>
  </si>
  <si>
    <t>Startup</t>
  </si>
  <si>
    <t>2018: 50, 2022: 97, 2023: 129, 2024: 145, 2025: 148</t>
  </si>
  <si>
    <t>557234-29</t>
  </si>
  <si>
    <t>G&amp;F CHÂTELAIN, succursale de CHANEL</t>
  </si>
  <si>
    <t>La Chaux-de-fonds, Switzerland</t>
  </si>
  <si>
    <t>18, Allée du Laser</t>
  </si>
  <si>
    <t>La Chaux-de-fonds</t>
  </si>
  <si>
    <t>2301</t>
  </si>
  <si>
    <t>G&amp;F CHÂTELAIN, succursale de CHANEL SARL</t>
  </si>
  <si>
    <t>CHÂTELAIN is a Swiss-based manufacturer of watches and jewelry with over 75 years of experience in the industry. The company specializes in watchmaking and fine watchmaking, and has several hundred employees. CHÂTELAIN is dedicated to responsible practices and carefully selects primary materials with respect to the environment.</t>
  </si>
  <si>
    <t>habillement horloger</t>
  </si>
  <si>
    <t>2023: 245</t>
  </si>
  <si>
    <t>462945-70</t>
  </si>
  <si>
    <t>Gocase</t>
  </si>
  <si>
    <t>256843-09P</t>
  </si>
  <si>
    <t>Leonardo Caracas</t>
  </si>
  <si>
    <t>Co-Founder &amp; Managing Director</t>
  </si>
  <si>
    <t>Amsterdam, Netherlands</t>
  </si>
  <si>
    <t>Korte Leidsedwarsstraat 12</t>
  </si>
  <si>
    <t>Amsterdam</t>
  </si>
  <si>
    <t>1017 RC</t>
  </si>
  <si>
    <t>Gocase Int B.V.</t>
  </si>
  <si>
    <t>65322525</t>
  </si>
  <si>
    <t>Manufacturer of electronic accessories intended to transform the way tech accessories is perceived. The company provides phone cases, chargers, watch bands, power banks and more, thereby offering products that reflect the customer's style.</t>
  </si>
  <si>
    <t>Electronics (B2C)*</t>
  </si>
  <si>
    <t>electronic accessories, electronic item, laptops cover, phone case, tech accessories</t>
  </si>
  <si>
    <t>2021: 97</t>
  </si>
  <si>
    <t>562949-92</t>
  </si>
  <si>
    <t>Gregory Jewellers</t>
  </si>
  <si>
    <t>Sydney, Australia</t>
  </si>
  <si>
    <t>Level 10, The Cullinan Building</t>
  </si>
  <si>
    <t>Sydney</t>
  </si>
  <si>
    <t>2000</t>
  </si>
  <si>
    <t>Manufacturer of jewelry and watches based in Australia. The company provides diamond education, custom design services, and gift guides for special occasions. Their products are made in Australia.</t>
  </si>
  <si>
    <t>2023: 88</t>
  </si>
  <si>
    <t>716660-47</t>
  </si>
  <si>
    <t>Grootbos Private Nature Reserve</t>
  </si>
  <si>
    <t>Gansbaai, South Africa</t>
  </si>
  <si>
    <t>Gansbaai</t>
  </si>
  <si>
    <t>Western Cape</t>
  </si>
  <si>
    <t>7220</t>
  </si>
  <si>
    <t>South Africa</t>
  </si>
  <si>
    <t>Africa</t>
  </si>
  <si>
    <t>Southern Africa</t>
  </si>
  <si>
    <t>The company primarily operates in the Hotels and Resorts industry. Grootbos Private Nature Reserve was founded in 1995 and is headquartered in Gansbaai, South Africa.</t>
  </si>
  <si>
    <t>Hotels and Resorts*, Other Services (B2C Non-Financial)</t>
  </si>
  <si>
    <t>boutique hotel, eco tourism, wedding venue, whale watching</t>
  </si>
  <si>
    <t>2024: 83</t>
  </si>
  <si>
    <t>437353-93</t>
  </si>
  <si>
    <t>Groove Life</t>
  </si>
  <si>
    <t>236043-46P</t>
  </si>
  <si>
    <t>Peter Goodwin</t>
  </si>
  <si>
    <t>Founder &amp; Chief Executive Officer</t>
  </si>
  <si>
    <t>peter.goodwin@groovelife.com</t>
  </si>
  <si>
    <t>+1 (615) 807-2080</t>
  </si>
  <si>
    <t>Nashville, TN</t>
  </si>
  <si>
    <t>1220 School Street No 25</t>
  </si>
  <si>
    <t>Springhill</t>
  </si>
  <si>
    <t>Nashville</t>
  </si>
  <si>
    <t>Tennessee</t>
  </si>
  <si>
    <t>37174</t>
  </si>
  <si>
    <t>Groove Ventures, Corp.</t>
  </si>
  <si>
    <t>Manufacturer of accessories intended for wristwatches. The company is a vertically integrated business that creates patented products like breathable silicone rings and watches bands, thereby helping people enjoy wearing watches and using on a daily basis.</t>
  </si>
  <si>
    <t>Accessories*</t>
  </si>
  <si>
    <t>E-Commerce, Manufacturing</t>
  </si>
  <si>
    <t>accessories manufacturing, accessories provider, wristwatch accessories, wristwatch product</t>
  </si>
  <si>
    <t>2020: 140, 2021: 170</t>
  </si>
  <si>
    <t>555834-70</t>
  </si>
  <si>
    <t>Grupo Bergerson</t>
  </si>
  <si>
    <t>Curitiba, Brazil</t>
  </si>
  <si>
    <t>Curitiba</t>
  </si>
  <si>
    <t>Paraná</t>
  </si>
  <si>
    <t>Retailer of luxury jewelry from top brands like Rolex, Cartier, and Montblanc. The online store offers a wide selection of rings, necklaces, bracelets, earrings, and watches, and features pieces made of gold, diamonds, and other precious stones. Customers can take advantage of interest-free payment plans and discounts on select items.</t>
  </si>
  <si>
    <t>2023: 236</t>
  </si>
  <si>
    <t>562730-86</t>
  </si>
  <si>
    <t>Grupo Cadarso</t>
  </si>
  <si>
    <t>08036</t>
  </si>
  <si>
    <t>+34 93 419 5888</t>
  </si>
  <si>
    <t>emailclientes@grupocadarso.com</t>
  </si>
  <si>
    <t>Operator of watch and jewelry distribution and hospitality services. Grupo Cadarso employs over 450 people and owns multiple international distribution companies. They also own and operate hotels and restaurants under the Condes Hotels brand in Barcelona. In addition to technical support, they distribute brands like Tous Watches, Guess Jewels, and Seiko Clocks through acquisitions and joint ventures.</t>
  </si>
  <si>
    <t>2023: 215</t>
  </si>
  <si>
    <t>562172-50</t>
  </si>
  <si>
    <t>Hamilton Jewelers</t>
  </si>
  <si>
    <t>Princeton, NJ</t>
  </si>
  <si>
    <t>92 Nassau St</t>
  </si>
  <si>
    <t>Princeton</t>
  </si>
  <si>
    <t>New Jersey</t>
  </si>
  <si>
    <t>08542</t>
  </si>
  <si>
    <t>Retailer of fine jewelry and watches with multiple locations. Hamilton Jewelers offers designer jewelry, engagement rings, and watches from various brands.</t>
  </si>
  <si>
    <t>bridal specialist, business gifts, estate buy, fine jewelry, fine timepieces, service and repair</t>
  </si>
  <si>
    <t>2023: 102, 2024: 111, 2025: 116</t>
  </si>
  <si>
    <t>396957-25</t>
  </si>
  <si>
    <t>Harkins</t>
  </si>
  <si>
    <t>FY 1995</t>
  </si>
  <si>
    <t>348391-45P</t>
  </si>
  <si>
    <t>Danny Harkins</t>
  </si>
  <si>
    <t>Owner, Co-Chief Executive Officer &amp; Director</t>
  </si>
  <si>
    <t>+1 (480) 423-1400</t>
  </si>
  <si>
    <t>Scottsdale, AZ</t>
  </si>
  <si>
    <t>8901 East McDonald Drive</t>
  </si>
  <si>
    <t>Scottsdale</t>
  </si>
  <si>
    <t>85250-6330</t>
  </si>
  <si>
    <t>+1 (480) 627-7777</t>
  </si>
  <si>
    <t>Harkins Reel Deals, L.L.C.</t>
  </si>
  <si>
    <t>Alamo Drafthouse Cinema</t>
  </si>
  <si>
    <t>Provider of movie theater services intended to offer a motion picture movie experience to viewers. The company is engaged in the indoor exhibition of motion pictures and offers a ticketing platform to view and look up movies and showtimes, buy tickets, watch trailers, digital ticket stubs, and more.</t>
  </si>
  <si>
    <t>Entertainment Software, Movies, Music and Entertainment*</t>
  </si>
  <si>
    <t>SaaS</t>
  </si>
  <si>
    <t>entertainment company, entertainment providers, entertainment service, movie broadcasting, movie theater, movies and entertainment, movies screening, ticketing platform</t>
  </si>
  <si>
    <t>2023: 1167, 2024: 1277, 2025: 1313</t>
  </si>
  <si>
    <t>563497-48</t>
  </si>
  <si>
    <t>Holzkern - Eine Marke der Time for Nature</t>
  </si>
  <si>
    <t>Vienna, Austria</t>
  </si>
  <si>
    <t>Autokaderstrasse 33/11.3</t>
  </si>
  <si>
    <t>Vienna</t>
  </si>
  <si>
    <t>Lower Austria</t>
  </si>
  <si>
    <t>1210</t>
  </si>
  <si>
    <t>Holzkern - Eine Marke der Time for Nature GmbH</t>
  </si>
  <si>
    <t>Manufacturer of watches and jewelry crafted from natural materials. The store's products include a range of men's and women's watches, limited edition pieces, and accessories such as handbags and sunglasses. Their worldwide shipping makes their products accessible to customers all over the globe.</t>
  </si>
  <si>
    <t>Clothing</t>
  </si>
  <si>
    <t>Clothing*, Other Apparel</t>
  </si>
  <si>
    <t>2023: 95</t>
  </si>
  <si>
    <t>164043-55</t>
  </si>
  <si>
    <t>Invicta Watch Group</t>
  </si>
  <si>
    <t>178870-06P</t>
  </si>
  <si>
    <t>Eyal Lalo</t>
  </si>
  <si>
    <t>Chief Executive Officer &amp; President</t>
  </si>
  <si>
    <t>elalo@invictawatch.com</t>
  </si>
  <si>
    <t>+1 (954) 921-2444</t>
  </si>
  <si>
    <t>Hollywood, FL</t>
  </si>
  <si>
    <t>1 Invicta Way, 3069 Taft Street</t>
  </si>
  <si>
    <t>Hollywood</t>
  </si>
  <si>
    <t>33021</t>
  </si>
  <si>
    <t>+1 (954) 921-4222</t>
  </si>
  <si>
    <t>invictasa@invictawatch.com</t>
  </si>
  <si>
    <t>Invicta, Mayamar</t>
  </si>
  <si>
    <t>Invicta Watch Company of America, Inc.</t>
  </si>
  <si>
    <t>Triwa, Nixon</t>
  </si>
  <si>
    <t>Operator of watch company intended to focus on execution in design and case construction to timepiece collections watches. The company offers products related to pocket watches, pro diver, sea hunter, flying fox, wall clocks, gladiator watches, and artist series watch collections, thereby helping customers with after sale repair services and band replacement.</t>
  </si>
  <si>
    <t>wall clocks, watches company, watches design, watches repair, watchmakers</t>
  </si>
  <si>
    <t>2023: 56, 2024: 56, 2025: 60</t>
  </si>
  <si>
    <t>558394-30</t>
  </si>
  <si>
    <t>IPC Centre Technique Industriel de la Plasturgie et des Composites</t>
  </si>
  <si>
    <t>Bellignat, France</t>
  </si>
  <si>
    <t>2 rue Pierre et Marie Curie</t>
  </si>
  <si>
    <t>Bellignat</t>
  </si>
  <si>
    <t>01100</t>
  </si>
  <si>
    <t>+33 (0)4 74 81 92 60</t>
  </si>
  <si>
    <t>info@poleplasturgie.com</t>
  </si>
  <si>
    <t>The company primarily operates in the Consulting Services (B2B) industry. IPC Centre Technique Industriel de la Plasturgie et des Composites was founded in 2016 and is headquartered in Bellignat, France.</t>
  </si>
  <si>
    <t>Consulting Services (B2B)*, Media and Information Services (B2B)</t>
  </si>
  <si>
    <t>additives manufacturing, technological watches</t>
  </si>
  <si>
    <t>2023: 150</t>
  </si>
  <si>
    <t>546142-87</t>
  </si>
  <si>
    <t>iStores Apple Premium Partner</t>
  </si>
  <si>
    <t>Ostrava, Czech Republic</t>
  </si>
  <si>
    <t>Keltičkova 1231</t>
  </si>
  <si>
    <t>Ostrava</t>
  </si>
  <si>
    <t>Moravskoslezský</t>
  </si>
  <si>
    <t>710 00</t>
  </si>
  <si>
    <t>Czech Republic</t>
  </si>
  <si>
    <t>Retailer of Apple products and accessories. iStores is an Apple Premium Reseller that provides authorized Apple service for iPhone, iPad, Mac, iPod, and Apple Watch.</t>
  </si>
  <si>
    <t>apple premium reseller and apple solution experts for education</t>
  </si>
  <si>
    <t>2023: 76</t>
  </si>
  <si>
    <t>374635-00</t>
  </si>
  <si>
    <t>Jacob &amp; Co</t>
  </si>
  <si>
    <t>439784-56P</t>
  </si>
  <si>
    <t>Luc Ferriere</t>
  </si>
  <si>
    <t>luc@jacobandco.com</t>
  </si>
  <si>
    <t>+1 (212) 719-5887</t>
  </si>
  <si>
    <t>48 East 57 Street</t>
  </si>
  <si>
    <t>10022</t>
  </si>
  <si>
    <t>info@jacobandco.com</t>
  </si>
  <si>
    <t>Jacob &amp; Company Watches, Inc.</t>
  </si>
  <si>
    <t>Helzberg's Diamond Shops, Saks, Gray &amp; Sons Jewelers, Skagen Denmark, The Watch Hut, Chopard, Reeds Jewelers, Repossi, Guccio Gucci, Boucheron Holding, London Jewelers, Iconery</t>
  </si>
  <si>
    <t>Manufacturer of timepieces and jewelry. The company offers a range of products including high jewelry timepieces, grand complication timepieces and other iconic timepieces collection for ladies and gents along with jewelry collection including high jewelry, fine jewelry, men's jewelry, accessories and bridal collections to clients around the world.</t>
  </si>
  <si>
    <t>bridal jewelry, fine jewelry, jewelry, timepieces, watches</t>
  </si>
  <si>
    <t>2019: 30, 2021: 100, 2022: 130, 2024: 259, 2025: 290</t>
  </si>
  <si>
    <t>240090-31</t>
  </si>
  <si>
    <t>JoesBar</t>
  </si>
  <si>
    <t>Chicago, IL</t>
  </si>
  <si>
    <t>Chicago</t>
  </si>
  <si>
    <t>Illinois</t>
  </si>
  <si>
    <t>60642</t>
  </si>
  <si>
    <t>+1 (312) 337-3486</t>
  </si>
  <si>
    <t>vents@joesbar.com</t>
  </si>
  <si>
    <t>Operator of a large entertainment venue in Chicago, specializing in sports, live music, and private parties. The entity features six unique party rooms, over 120 plasma televisions, and high definition projector screens. Joe's on Weed St. is a popular spot for watching sports games, hosting national and local music acts, and accommodating private parties for up to 1,200 guests. The venue is restricted to guests 21 and older.</t>
  </si>
  <si>
    <t>Beverages</t>
  </si>
  <si>
    <t>Beverages*</t>
  </si>
  <si>
    <t>corporate benefits, credit card transaction, high definition, high definition tv, holiday destination, holiday reservation, monthly calendar, restaurant reservation</t>
  </si>
  <si>
    <t>2024: 61, 2025: 79</t>
  </si>
  <si>
    <t>564950-26</t>
  </si>
  <si>
    <t>Julio Okubo</t>
  </si>
  <si>
    <t>Avenida Brigadeiro Faria Lima</t>
  </si>
  <si>
    <t>São Paulo</t>
  </si>
  <si>
    <t>01451-000</t>
  </si>
  <si>
    <t>Operator of jewelry and watch stores. Julio Okubo provides a variety of collections, with a focus on pearl jewelry, and has brick-and-mortar locations across Brazil. The company's history dates back to the arrival of Japanese immigrants in the 1920s, and they prioritize sustainability through perliculture.</t>
  </si>
  <si>
    <t>exclusive jewelry, high standards clock, high-standard jewelry, luxury jewelry, luxury market, luxury watches</t>
  </si>
  <si>
    <t>471109-69</t>
  </si>
  <si>
    <t>Juwelier Ruschenbeck</t>
  </si>
  <si>
    <t>271269-01P</t>
  </si>
  <si>
    <t>Gerhard Rüschenbeck</t>
  </si>
  <si>
    <t>Chief Executive Officer, Managing Director &amp; Executive Board Member</t>
  </si>
  <si>
    <t>+49 (0)23 1915 300</t>
  </si>
  <si>
    <t>Dortmund, Germany</t>
  </si>
  <si>
    <t>Westenhellweg 45</t>
  </si>
  <si>
    <t>Dortmund</t>
  </si>
  <si>
    <t>44137</t>
  </si>
  <si>
    <t>+49 (0)23 1915 3200</t>
  </si>
  <si>
    <t>info@rueschenbeck.de</t>
  </si>
  <si>
    <t>Ruschenbeck</t>
  </si>
  <si>
    <t>Juwelier Rüschenbeck KG</t>
  </si>
  <si>
    <t>HRA 6394</t>
  </si>
  <si>
    <t>Dortmund District Court</t>
  </si>
  <si>
    <t>Retailer, manufacturer and designer of jewelry and watches headquartered in Dortmund, Germany. The company provides various types of luxury watches and luxury jewelry of top brands, enabling people to get branded and certified products.</t>
  </si>
  <si>
    <t>Accessories, Internet Retail, Luxury Goods, Specialty Retail*</t>
  </si>
  <si>
    <t>branding watches, jewelry retailer, jewelry seller, watch retailer, watches seller</t>
  </si>
  <si>
    <t>2011: 100, 2012: 100, 2013: 100, 2014: 140, 2015: 140, 2016: 140, 2017: 140</t>
  </si>
  <si>
    <t>471367-09</t>
  </si>
  <si>
    <t>Juwelier Wagner</t>
  </si>
  <si>
    <t>271783-81P</t>
  </si>
  <si>
    <t>Hermann Wagner</t>
  </si>
  <si>
    <t>Managing Director, Partner and Manager</t>
  </si>
  <si>
    <t>+43 (0)1 512 0512</t>
  </si>
  <si>
    <t>Kärntner Strasse 32</t>
  </si>
  <si>
    <t>1010</t>
  </si>
  <si>
    <t>+43 (0)1 512 0512 77</t>
  </si>
  <si>
    <t>info@juwelier-wagner.at</t>
  </si>
  <si>
    <t>Wagner</t>
  </si>
  <si>
    <t>Juwelier Wagner Gesellschaft mbH</t>
  </si>
  <si>
    <t>89089p</t>
  </si>
  <si>
    <t>Manufacturer and supplier of watches and jewels based in Vienna, Austria. The company's product offering includes luxury watches, rings, bracelets, necklaces, chains, earrings, wedding gifts and other accessories.</t>
  </si>
  <si>
    <t>Accessories*, Distributors/Wholesale, Luxury Goods, Other Commercial Services</t>
  </si>
  <si>
    <t>branding watches, jewelry accessories, jewelry products, luxury products, watches manufacturer</t>
  </si>
  <si>
    <t>2008: 30, 2009: 38, 2010: 40, 2011: 41, 2012: 41, 2013: 41, 2014: 42, 2015: 42, 2016: 42, 2017: 43, 2018: 43, 2019: 42, 2020: 63, 2021: 58, 2022: 61, 2023: 62, 2024: 61</t>
  </si>
  <si>
    <t>565616-71</t>
  </si>
  <si>
    <t>K-tuin, Tiendas Apple</t>
  </si>
  <si>
    <t>Zaragoza, Spain</t>
  </si>
  <si>
    <t>Plaza de Miguel Salamero</t>
  </si>
  <si>
    <t>Zaragoza</t>
  </si>
  <si>
    <t>Aragon</t>
  </si>
  <si>
    <t>50004</t>
  </si>
  <si>
    <t>+34 90 240 4405</t>
  </si>
  <si>
    <t>atencionalcliente@k-tuin.com</t>
  </si>
  <si>
    <t>Retailer of Apple products and services. K-tuin is a tienda Apple Premium Reseller that offers a full range of Apple products, including MacBook Air and Pro, iPhones, iPads, Apple Watch, Apple TV, AirPods, and accessories. The company also provides technical support and training services.</t>
  </si>
  <si>
    <t>2023: 256</t>
  </si>
  <si>
    <t>497646-46</t>
  </si>
  <si>
    <t>Kallol</t>
  </si>
  <si>
    <t>346505-14P</t>
  </si>
  <si>
    <t>Mohammed Alam</t>
  </si>
  <si>
    <t>Group Chief Financial Officer</t>
  </si>
  <si>
    <t>+880 (0)258 8160049</t>
  </si>
  <si>
    <t>Dhaka, Bangladesh</t>
  </si>
  <si>
    <t>199, Tejgaon I.A</t>
  </si>
  <si>
    <t>Dhaka</t>
  </si>
  <si>
    <t>Bangladesh</t>
  </si>
  <si>
    <t>+880 (0)2 8826268</t>
  </si>
  <si>
    <t>info@kallolgroup.com</t>
  </si>
  <si>
    <t>South Asia</t>
  </si>
  <si>
    <t>KGC</t>
  </si>
  <si>
    <t>Kallol Ltd.</t>
  </si>
  <si>
    <t>Retailer and importer of renowned luxury watches headquartered in Dhaka, Bangladesh. The company offers products of various international brands and also offers sales services for watches and writing instruments.</t>
  </si>
  <si>
    <t>2023: 174</t>
  </si>
  <si>
    <t>549679-69</t>
  </si>
  <si>
    <t>Kapoor Watch Company</t>
  </si>
  <si>
    <t>New Delhi, India</t>
  </si>
  <si>
    <t>New Delhi</t>
  </si>
  <si>
    <t>India</t>
  </si>
  <si>
    <t>The company primarily operates in the Specialty Retail industry. Kapoor Watch Company was founded in 1967 and is headquartered in New Delhi, India.</t>
  </si>
  <si>
    <t>2023: 67</t>
  </si>
  <si>
    <t>539188-57</t>
  </si>
  <si>
    <t>Kashkick</t>
  </si>
  <si>
    <t>94008-34P</t>
  </si>
  <si>
    <t>Vishal Mahtani</t>
  </si>
  <si>
    <t>1201 North Orange Street</t>
  </si>
  <si>
    <t>Suite Number 7276</t>
  </si>
  <si>
    <t>19801-1186</t>
  </si>
  <si>
    <t>Besitos Corporation LLC</t>
  </si>
  <si>
    <t>Developer of reward platform designed to provide earning potential online. The company offers a wide range of online activities including taking surveys, watching videos, completing offers, referring friends and more.</t>
  </si>
  <si>
    <t>Entertainment Software</t>
  </si>
  <si>
    <t>Entertainment Software*</t>
  </si>
  <si>
    <t>Gaming, SaaS</t>
  </si>
  <si>
    <t>cash back, cash back app, cash back gaming, cash back offers, cash back site, rewards platform</t>
  </si>
  <si>
    <t>2023: 21, 2024: 59, 2025: 64</t>
  </si>
  <si>
    <t>258711-31</t>
  </si>
  <si>
    <t>KGUN9</t>
  </si>
  <si>
    <t>85710</t>
  </si>
  <si>
    <t>Provider of news and media services to the public. KGUN 9 offers breaking news, sports, and weather updates, as well as features such as hourly forecasts, wildfire watch, severe weather alerts, and photo galleries. The station has a policy that limits the use of mug shots in reporting and a program called Operation Safe Roads.</t>
  </si>
  <si>
    <t>advertising performance, consumer information, issue resolution, local business information, local news, online advertising business, online digital information, performance advertising, performance reporting, television programming</t>
  </si>
  <si>
    <t>2024: 77, 2025: 74</t>
  </si>
  <si>
    <t>657570-70</t>
  </si>
  <si>
    <t>Lakeview Baptist Church</t>
  </si>
  <si>
    <t>Brownwood, TX</t>
  </si>
  <si>
    <t>8315 FM 2125</t>
  </si>
  <si>
    <t>Brownwood</t>
  </si>
  <si>
    <t>76801-0118</t>
  </si>
  <si>
    <t>Nurturer and equipping provider of discipleship in Auburn, AL. The Lakeview Baptist Church offers a Sunday Livestream and a Discover Lakeview Class. They provide information about service times, special events, and ways to be involved in the activities and ministries they offer. Sermons are available to listen to or watch on Vimeo.</t>
  </si>
  <si>
    <t>Other Services (B2C Non-Financial)</t>
  </si>
  <si>
    <t>Other Services (B2C Non-Financial)*</t>
  </si>
  <si>
    <t>2024: 74, 2025: 74</t>
  </si>
  <si>
    <t>130900-87</t>
  </si>
  <si>
    <t>Lee Michaels Jewelers</t>
  </si>
  <si>
    <t>196148-35P</t>
  </si>
  <si>
    <t>Lee Michael Berg</t>
  </si>
  <si>
    <t>Baton Rouge, LA</t>
  </si>
  <si>
    <t>Baton Rouge</t>
  </si>
  <si>
    <t>Louisiana</t>
  </si>
  <si>
    <t>Operator of a chain of jewelry and gift stores in the southern United States. The retailer offers a wide selection of fine jewelry and watches, along with customer service, financing options, and education on jewelry and watch care and repair. They also provide shipping and gift wrapping services for all orders.</t>
  </si>
  <si>
    <t>customer service, postal service, shopping center</t>
  </si>
  <si>
    <t>2024: 141, 2025: 144</t>
  </si>
  <si>
    <t>120346-48</t>
  </si>
  <si>
    <t>Legal Advantage</t>
  </si>
  <si>
    <t>Bethesda, MD</t>
  </si>
  <si>
    <t>10411 Motor City Drive</t>
  </si>
  <si>
    <t>Suite 750</t>
  </si>
  <si>
    <t>Bethesda</t>
  </si>
  <si>
    <t>Maryland</t>
  </si>
  <si>
    <t>20817</t>
  </si>
  <si>
    <t>+1 (301) 637-6180</t>
  </si>
  <si>
    <t>+1 (800) 804-4220</t>
  </si>
  <si>
    <t>inbox@legaladvantage.net</t>
  </si>
  <si>
    <t>Legal Advantage, LLC</t>
  </si>
  <si>
    <t>TransPerfect Legal Solutions, Practical Law</t>
  </si>
  <si>
    <t>Provider of legal support services. The company specializes in patent illustration, patent watch, product mapping, sequence searching, technical translation and patent proof reading.</t>
  </si>
  <si>
    <t>Legal Services (B2C)</t>
  </si>
  <si>
    <t>Legal Services (B2C)*</t>
  </si>
  <si>
    <t>legal support, proofreading, technical translation</t>
  </si>
  <si>
    <t>2015: 51, 2022: 60, 2023: 63, 2024: 65, 2025: 66</t>
  </si>
  <si>
    <t>566243-11</t>
  </si>
  <si>
    <t>Limton Group of Companies</t>
  </si>
  <si>
    <t>Karachi, Pakistan</t>
  </si>
  <si>
    <t>Level 04 &amp; 05, Shahnaz Arcade, Shaheed-e-Millat Road</t>
  </si>
  <si>
    <t>Karachi</t>
  </si>
  <si>
    <t>Sindh</t>
  </si>
  <si>
    <t>74400</t>
  </si>
  <si>
    <t>Pakistan</t>
  </si>
  <si>
    <t>Provider of business process automation solutions in Pakistan. Limton Innovative Systems offers time attendance, access control, security management, biometrics, ID card printing, and AIDC solutions. The company also operates Limton Watch Co. for wrist watches, wall clocks, and branded accessories. With over 10,000 corporate clients, Limton offers after-sales support and has a dedicated customer care department and Service Center for hardware repairs. The company has offices in Karachi and Faisal Town.</t>
  </si>
  <si>
    <t>IT Consulting and Outsourcing*</t>
  </si>
  <si>
    <t>access control, customized solutions, enterprise security solutions, id card printing, mobile business solutions, time attendance</t>
  </si>
  <si>
    <t>2023: 144</t>
  </si>
  <si>
    <t>707848-03</t>
  </si>
  <si>
    <t>Linwear</t>
  </si>
  <si>
    <t>425878-03P</t>
  </si>
  <si>
    <t>Lin Yixun</t>
  </si>
  <si>
    <t>Chief Executive Officer &amp; Chairman</t>
  </si>
  <si>
    <t>lyixun@linwear.com</t>
  </si>
  <si>
    <t>+86 (0)150 8945 0240</t>
  </si>
  <si>
    <t>Shenzhen, China</t>
  </si>
  <si>
    <t>30/F, Block B, Digital Innovation Center(Runhong International)</t>
  </si>
  <si>
    <t>Number 328, Mintang Road, North Station Community, Minzhi Street, Longhua District</t>
  </si>
  <si>
    <t>Shenzhen</t>
  </si>
  <si>
    <t>China</t>
  </si>
  <si>
    <t>Shenzhen Linwear Innovation Technology Co.,Ltd</t>
  </si>
  <si>
    <t>Provider of smart wearable OEM services based in Shenzhen, China. The company offers OEM and ODM for smart wearables, including dynamic heart rate monitor smart bracelet, smart band, smart watch, ID and MD design, PCB layout, firmware and app development, UI and logo change, and more.</t>
  </si>
  <si>
    <t>BPO/Outsource Services</t>
  </si>
  <si>
    <t>BPO/Outsource Services*, Other Commercial Services, Other Consumer Durables</t>
  </si>
  <si>
    <t>Manufacturing, Wearables &amp; Quantified Self</t>
  </si>
  <si>
    <t>oem manufacturer, smart band, smart wearable assistive technology, smart wearable device, smart wearable product, smart wearable solutions</t>
  </si>
  <si>
    <t>Assistive Tech, Smart Jewelry</t>
  </si>
  <si>
    <t>2024: 500</t>
  </si>
  <si>
    <t>658488-52</t>
  </si>
  <si>
    <t>Litmus Information Systems</t>
  </si>
  <si>
    <t>Mumbai, India</t>
  </si>
  <si>
    <t>506 Options Primo Near Andheri psk</t>
  </si>
  <si>
    <t>Mumbai</t>
  </si>
  <si>
    <t>Maharashtra</t>
  </si>
  <si>
    <t>400093</t>
  </si>
  <si>
    <t>Litmus Information Systems LLP</t>
  </si>
  <si>
    <t>Provider of IT services and solutions for specific industries. The company offers IT assessments, expert watch, security operation center, system integration services, disaster recovery as a service, and cloud services. LitmusIT is vendor-agnostic and delivers cost-effective solutions. Their team of professionals are ITIL certified and their core values are built around five key attributes.</t>
  </si>
  <si>
    <t>2024: 76</t>
  </si>
  <si>
    <t>129677-95</t>
  </si>
  <si>
    <t>London Jewelers</t>
  </si>
  <si>
    <t>236090-26P</t>
  </si>
  <si>
    <t>Mark Udell</t>
  </si>
  <si>
    <t>mark.udell@londonjewelers.com</t>
  </si>
  <si>
    <t>+1 (212) 381-9455</t>
  </si>
  <si>
    <t>185 Greenwich Street</t>
  </si>
  <si>
    <t>10007</t>
  </si>
  <si>
    <t>+1 (516) 277-2050</t>
  </si>
  <si>
    <t>info@londonjewelers.com</t>
  </si>
  <si>
    <t>Udell Jewelers, Inc.</t>
  </si>
  <si>
    <t>Gray &amp; Sons Jewelers, Ashford.com, WorldofWatches</t>
  </si>
  <si>
    <t>Operator of fashion jewelry retail stores based in New York City, New York. The company's products include rings, earrings, bracelets, necklaces and cufflinks and also offer jewelry and watch repair services, accommodating every request whether it is a simple jewelry repair or a request for a custom-designed piece.</t>
  </si>
  <si>
    <t>Internet Retail, Luxury Goods, Other Apparel, Specialty Retail*</t>
  </si>
  <si>
    <t>fashion jewelry, jeweler, jewelry repair, retail stores, watch repair</t>
  </si>
  <si>
    <t>2020: 200, 2024: 270</t>
  </si>
  <si>
    <t>129920-41</t>
  </si>
  <si>
    <t>Lux Bond &amp; Green</t>
  </si>
  <si>
    <t>West Hartford, CT</t>
  </si>
  <si>
    <t>West Hartford</t>
  </si>
  <si>
    <t>06107</t>
  </si>
  <si>
    <t>+1 (800) 524-7336</t>
  </si>
  <si>
    <t>Family-owned jewelry store offering a variety of jewelry, watches, and home gifts since 1898. Lux Bond &amp; Green is an official Rolex jeweler with five locations in Connecticut and Massachusetts.</t>
  </si>
  <si>
    <t>Casinos and Gaming, Other Commercial Services*</t>
  </si>
  <si>
    <t>internet sales</t>
  </si>
  <si>
    <t>2024: 81, 2025: 84</t>
  </si>
  <si>
    <t>549973-72</t>
  </si>
  <si>
    <t>LUXEHOUZE</t>
  </si>
  <si>
    <t>Central Jakarta, Indonesia</t>
  </si>
  <si>
    <t>Prosperity Tower, SCBD, Jl. Jenderal Sudirman No. Kav. 52-54</t>
  </si>
  <si>
    <t>Central Jakarta</t>
  </si>
  <si>
    <t>Dki Jakarta</t>
  </si>
  <si>
    <t>12190</t>
  </si>
  <si>
    <t>Indonesia</t>
  </si>
  <si>
    <t>Operator of a luxury goods marketplace offering high-end watches, leather goods, and luxury items. The entity provides services including consignment, direct selling, trade-in, concierge, and personal shopping. Luxehouze is committed to providing a safe and transparent platform with a superior end-to-end customer experience.</t>
  </si>
  <si>
    <t>luxury and marketplace</t>
  </si>
  <si>
    <t>2023: 59</t>
  </si>
  <si>
    <t>471238-75</t>
  </si>
  <si>
    <t>Mahlberg &amp; Meyer</t>
  </si>
  <si>
    <t>271501-03P</t>
  </si>
  <si>
    <t>Gregor Wintersteller</t>
  </si>
  <si>
    <t>Founder &amp; Co-Owner</t>
  </si>
  <si>
    <t>+49 (0)40 3600 6280 0</t>
  </si>
  <si>
    <t>Hamburg, Germany</t>
  </si>
  <si>
    <t>Neuer Wall 43</t>
  </si>
  <si>
    <t>Hamburg</t>
  </si>
  <si>
    <t>20354</t>
  </si>
  <si>
    <t>+49 (0)45 1799 7122</t>
  </si>
  <si>
    <t>Mahlberg GmbH &amp; Co. KG</t>
  </si>
  <si>
    <t>HRA 2183 HL</t>
  </si>
  <si>
    <t>Lübeck District Court</t>
  </si>
  <si>
    <t>Manufacturer and retailer of watches, jewelry and accessories based in Hamburg, Germany. The company offers a variety of types, sizes, brands and colors of products including steel and rose gold watches, solitaire rings, gold pendants, silver chains, clocks and other related products and accessories for various occasions and it also offers ornaments and timepiece crafting, designing, repair and maintenance services, enabling customers to have valuable and classic products at affordable prices.</t>
  </si>
  <si>
    <t>Accessories*, Luxury Goods, Specialty Retail</t>
  </si>
  <si>
    <t>jewelry gold, jewelry pieces, timepieces jewelry, timepieces product, watches bracelets, watches design</t>
  </si>
  <si>
    <t>2006: 68, 2007: 81, 2008: 98, 2009: 87</t>
  </si>
  <si>
    <t>588755-89</t>
  </si>
  <si>
    <t>MAJD Digital</t>
  </si>
  <si>
    <t>321809-68P</t>
  </si>
  <si>
    <t>Raja Khan</t>
  </si>
  <si>
    <t>Chief Strategy Officer</t>
  </si>
  <si>
    <t>Dubai, United Arab Emirates</t>
  </si>
  <si>
    <t>Dubai</t>
  </si>
  <si>
    <t>United Arab Emirates</t>
  </si>
  <si>
    <t>MAJD</t>
  </si>
  <si>
    <t>Operator of a B2B and B2C digital business marketplace company intended to serve the retail business value chain while addressing the needs of consumers, retailers, suppliers, distributors, and manufacturers. The company's platform allows the buying and selling of watches, household appliances, kitchen tools, mobile phones, computers, and perfumes.</t>
  </si>
  <si>
    <t>Application Software, Business/Productivity Software, Holding Companies, Internet Retail*</t>
  </si>
  <si>
    <t>Mobile, SaaS</t>
  </si>
  <si>
    <t>b2b marketplace, b2c marketplace, b2c marketplace software, digital business, digital business management, digital business model</t>
  </si>
  <si>
    <t>2024: 268</t>
  </si>
  <si>
    <t>537522-76</t>
  </si>
  <si>
    <t>Megapaca</t>
  </si>
  <si>
    <t>368688-79P</t>
  </si>
  <si>
    <t>Mario Azmitia</t>
  </si>
  <si>
    <t>Co-Founder, Chief Executive Officer, Director, and General Manager</t>
  </si>
  <si>
    <t>mario@megapaca.com</t>
  </si>
  <si>
    <t>+502 7 957 4698</t>
  </si>
  <si>
    <t>Escuintla, Guatemala</t>
  </si>
  <si>
    <t>Pacific Highway, Km 36.26</t>
  </si>
  <si>
    <t>Megapaca Industrial Complex, Palin</t>
  </si>
  <si>
    <t>Escuintla</t>
  </si>
  <si>
    <t>05011</t>
  </si>
  <si>
    <t>Guatemala</t>
  </si>
  <si>
    <t>megaenlinea@megapaca.com</t>
  </si>
  <si>
    <t>Central America</t>
  </si>
  <si>
    <t>Apicasa S.A</t>
  </si>
  <si>
    <t>Retailer of used clothing headquartered in Escuintla, Guatemala. The company offers a wide range of new and used quality products including jewelry, watches, clothes, accessories, shoes, toys, and more, thereby enabling customers to spend less and buy more.</t>
  </si>
  <si>
    <t>accessories retailer, clothing retailer, shoes retailing, used clothing, used clothing marketplace, used clothing retail</t>
  </si>
  <si>
    <t>2023: 1249</t>
  </si>
  <si>
    <t>551217-79</t>
  </si>
  <si>
    <t>Minutes UAE</t>
  </si>
  <si>
    <t>Al ittihad road, port saeed</t>
  </si>
  <si>
    <t>Operator of repair services and product sales in Dubai. The entity offers mobile, shoe, watch, and laptop repair, key cutting, stamp making, paper and printing, sublimation, and sales of fashion accessories, safety equipment, travel gear, and gift items. They provide online booking and shopping, as well as trained customer care representatives and technicians.</t>
  </si>
  <si>
    <t>Office Services (B2B)</t>
  </si>
  <si>
    <t>Office Services (B2B)*</t>
  </si>
  <si>
    <t>business cards services, company stamping, computer repair, crystal engraving, engraving service, keys &amp; locks services, mobile repair &amp; accessories, names badges, shoe repair &amp; accessories, stamping services, watch repair &amp; accessories</t>
  </si>
  <si>
    <t>2024: 113</t>
  </si>
  <si>
    <t>384865-03</t>
  </si>
  <si>
    <t>Mitchells (Specialty Retail)</t>
  </si>
  <si>
    <t>436478-86P</t>
  </si>
  <si>
    <t>Russ Mitchell</t>
  </si>
  <si>
    <t>russm@mitchellstores.com</t>
  </si>
  <si>
    <t>+1 (844) 855-4847</t>
  </si>
  <si>
    <t>Westport, CT</t>
  </si>
  <si>
    <t>670 Post Road East</t>
  </si>
  <si>
    <t>Westport</t>
  </si>
  <si>
    <t>06880</t>
  </si>
  <si>
    <t>Ed Mitchells</t>
  </si>
  <si>
    <t>Mitchells Stores</t>
  </si>
  <si>
    <t>Retailer of luxury goods, clothing, and jewelry products based in Westport, Connecticut. The company's products include men's designer clothing, women's designer clothing, watches, bracelets, shoes, earrings, and more.</t>
  </si>
  <si>
    <t>Clothing, Luxury Goods, Specialty Retail*</t>
  </si>
  <si>
    <t>bracelets product, luxury earrings, luxury watches, mens clothing, shoes retailing, womens clothing</t>
  </si>
  <si>
    <t>2019: 175</t>
  </si>
  <si>
    <t>152335-99</t>
  </si>
  <si>
    <t>Mondaine</t>
  </si>
  <si>
    <t>175036-06P</t>
  </si>
  <si>
    <t>André Bernheim</t>
  </si>
  <si>
    <t>Co-Owner and President of the Board</t>
  </si>
  <si>
    <t>abernheim@ch.mondaine.com</t>
  </si>
  <si>
    <t>+41 (0)43 344 4748</t>
  </si>
  <si>
    <t>Pfaffikon, Switzerland</t>
  </si>
  <si>
    <t>Etzelstrasse 27</t>
  </si>
  <si>
    <t>Pfaffikon</t>
  </si>
  <si>
    <t>8808</t>
  </si>
  <si>
    <t>+41 (0)58 666 8833</t>
  </si>
  <si>
    <t>info@mondaine.com</t>
  </si>
  <si>
    <t>Mondaine Watch Ltd.</t>
  </si>
  <si>
    <t>Longines</t>
  </si>
  <si>
    <t>Manufacturer and retailer of branded watches intended to offer quality products. The company offers a variety of designs, styles, types and colors of modern, minimalist, sustainable, wall and leather watches and clocks to be hanged on walls or wore on the wrist for both men and women featuring date, time, backlights and other related features, enabling customers to have trendy and fashionable products at affordable prices.</t>
  </si>
  <si>
    <t>Accessories*, Specialty Retail</t>
  </si>
  <si>
    <t>watchbands, watches design, watches finishing, watches maker, watches manufacturer</t>
  </si>
  <si>
    <t>2020: 120, 2021: 120</t>
  </si>
  <si>
    <t>133282-63</t>
  </si>
  <si>
    <t>Montrichard Group</t>
  </si>
  <si>
    <t>393230-98P</t>
  </si>
  <si>
    <t>Remi Chabrat</t>
  </si>
  <si>
    <t>remi.chabrat@montrichardwatch.com</t>
  </si>
  <si>
    <t>+852 2758 1238</t>
  </si>
  <si>
    <t>New Territories, Hong Kong</t>
  </si>
  <si>
    <t>Flat 51, 15th Floor, Profit Industrial Building</t>
  </si>
  <si>
    <t>1-15 Kwai Fung Crescent, Kwai Chung</t>
  </si>
  <si>
    <t>New Territories</t>
  </si>
  <si>
    <t>Hong Kong</t>
  </si>
  <si>
    <t>+852 2758 8587</t>
  </si>
  <si>
    <t>contact@montrichardwatch.com</t>
  </si>
  <si>
    <t>Montrichard</t>
  </si>
  <si>
    <t>Montrichard (H.K.) Ltd.</t>
  </si>
  <si>
    <t>Manufacturer and provider of watches and supply chain solutions intended to implement the independent software solution for the watch industry that has delivered a perfect track record of operating just-in-time manufacturing. The company provides a wide range of services like product development and manufacturing, digital presence and marketing, market and business strategy, public relations strategies, and financial management.</t>
  </si>
  <si>
    <t>Personal Products</t>
  </si>
  <si>
    <t>Other Commercial Services, Personal Products*</t>
  </si>
  <si>
    <t>Industrials, Manufacturing, TMT</t>
  </si>
  <si>
    <t>watches dealer, watches design, watches maker, watches parts, watches repair, watches seller</t>
  </si>
  <si>
    <t>2024: 52</t>
  </si>
  <si>
    <t>606790-90</t>
  </si>
  <si>
    <t>Movies Anywhere</t>
  </si>
  <si>
    <t>421017-13P</t>
  </si>
  <si>
    <t>Robert Iger</t>
  </si>
  <si>
    <t>rlger@moviesanywhere.com</t>
  </si>
  <si>
    <t>+1 (833) 466-8438</t>
  </si>
  <si>
    <t>Burbank, CA</t>
  </si>
  <si>
    <t>500 South Buena Vista Street</t>
  </si>
  <si>
    <t>Burbank</t>
  </si>
  <si>
    <t>91521</t>
  </si>
  <si>
    <t>Movies Anywhere LLC</t>
  </si>
  <si>
    <t>Operator of an OTT platform intended for entertainment purpose. The company helps to connect digital movie retailers and watch movies in one place, it also helps in personalizes movie collection and allows redeeming digital movie codes, to purchase new releases, redeem digital copies, and watch movies both online and offline, enabling people to get huge and latest collection of movies.</t>
  </si>
  <si>
    <t>animated films, comedic content, digital movies, entertainment data, latest movies app, ott platform company</t>
  </si>
  <si>
    <t>2024: 93</t>
  </si>
  <si>
    <t>550816-21</t>
  </si>
  <si>
    <t>Mudita</t>
  </si>
  <si>
    <t>Ulica Jana Czeczota 6</t>
  </si>
  <si>
    <t>Mazowieckie</t>
  </si>
  <si>
    <t>02-607</t>
  </si>
  <si>
    <t>contact@mudita.com</t>
  </si>
  <si>
    <t>Developer of minimalist, distraction-free tech products and software. Mudita's products include phones, alarm clocks, watches, and software, all designed to minimize information overload and digital distractions. Their emphasis on privacy protection and responsible technology use sets them apart in the market.</t>
  </si>
  <si>
    <t>device manufacturing</t>
  </si>
  <si>
    <t>566899-30</t>
  </si>
  <si>
    <t>MYn App</t>
  </si>
  <si>
    <t>Multi-purpose app in India offering various services such as chat, store, work, watch, ride, and shop, all in one place. The app's 'Persona' feature includes MYworld, MYown, MYlocal, and MYwork, catering to individual day-to-day experiences. The app also includes interest-based social media feeds, MYtv, a secure space to chat, call, and store, and a unified business communication and collaboration hub. Intra-city travel is made easy with cab and auto rides, and the app has organized various events. The app values data privacy, collecting no data and targeting no advertisements.</t>
  </si>
  <si>
    <t>2024: 116</t>
  </si>
  <si>
    <t>134172-82</t>
  </si>
  <si>
    <t>National Marketing Comapny</t>
  </si>
  <si>
    <t>Business partner and distributor in the Middle East specializing in brand building. AlMalki Group offers services in skincare, cosmetics, watches, jewelry, fashion distribution, sales development, communication, recruitment, and management. The company has a comprehensive organization to support all aspects of brand development and has been in business for 65 years. They recently entered the beauty sector with their new subsidiary AlmaLuxe and work with Interparfums alongside other brands. Located in Jeddah, Saudi Arabia.</t>
  </si>
  <si>
    <t>advertising services, local marketing, marketing strategy</t>
  </si>
  <si>
    <t>2021: 1600</t>
  </si>
  <si>
    <t>599957-11</t>
  </si>
  <si>
    <t>Nihon Dento Kougyo</t>
  </si>
  <si>
    <t>400766-32P</t>
  </si>
  <si>
    <t>Mami Ito</t>
  </si>
  <si>
    <t>mito@nihondento.com</t>
  </si>
  <si>
    <t>+81 (0)48 665 8135</t>
  </si>
  <si>
    <t>Saitama City, Japan</t>
  </si>
  <si>
    <t>1-137 Nisshin-cho, Kita-ku</t>
  </si>
  <si>
    <t>Saitama City</t>
  </si>
  <si>
    <t>331-0823</t>
  </si>
  <si>
    <t>Japan</t>
  </si>
  <si>
    <t>+81 (0)48 665 8136</t>
  </si>
  <si>
    <t>Nihon Dento Kougyo Co., Ltd.</t>
  </si>
  <si>
    <t>Provider of metal plating, electroplating, and surface treatment services intended for electrical and electronic parts, medical equipment, accessories, musical devices, jewellery, and wind instruments. The company uses plating, anodizing, and surface treatment technology for plating on medical catheters, luxury watches, flutes, platinum and gold ornaments, and musical instruments, enabling clients to prevent rusting and improve the corrosion resistance and wear resistance of metals and instruments.</t>
  </si>
  <si>
    <t>Construction and Engineering*, Other Commercial Services</t>
  </si>
  <si>
    <t>electroplating services, metal plating services, plating services, surface treatment, surface treatment and painting, surface treatment line, surface treatment service, surface treatment work</t>
  </si>
  <si>
    <t>2021: 61</t>
  </si>
  <si>
    <t>595484-92</t>
  </si>
  <si>
    <t>Ofriscate</t>
  </si>
  <si>
    <t>Southport, United Kingdom</t>
  </si>
  <si>
    <t>40 Hoghton Street</t>
  </si>
  <si>
    <t>Southport</t>
  </si>
  <si>
    <t>PR9 0PQ</t>
  </si>
  <si>
    <t>Ofriscate Limited</t>
  </si>
  <si>
    <t>01342508</t>
  </si>
  <si>
    <t>Operator of pawnbroking and jewellery services designed to provide financial solutions and luxury items. The company offers loans against jewellery, watches, and gold, serving the Greater Manchester area. They also sell and repair luxury jewellery, catering to customers looking for both financial assistance and high-quality goods.</t>
  </si>
  <si>
    <t>2019: 55, 2020: 59, 2021: 57, 2022: 55, 2023: 52, 2024: 50</t>
  </si>
  <si>
    <t>347839-12</t>
  </si>
  <si>
    <t>Our Watch</t>
  </si>
  <si>
    <t>Garden Grove, CA</t>
  </si>
  <si>
    <t>12832 Valley View St Ste 211</t>
  </si>
  <si>
    <t>Garden Grove</t>
  </si>
  <si>
    <t>92845-2524</t>
  </si>
  <si>
    <t>+1 (714) 622-5852</t>
  </si>
  <si>
    <t>Assistance In Home Care</t>
  </si>
  <si>
    <t>Our Watch is a Garden Grove, CA based private company whose line of business is Home health care services</t>
  </si>
  <si>
    <t>Elder and Disabled Care*</t>
  </si>
  <si>
    <t>2019: 52</t>
  </si>
  <si>
    <t>569226-43</t>
  </si>
  <si>
    <t>Pelham House Resort</t>
  </si>
  <si>
    <t>Dennis Port, MA</t>
  </si>
  <si>
    <t>14 Sea St</t>
  </si>
  <si>
    <t>Dennis Port</t>
  </si>
  <si>
    <t>02639</t>
  </si>
  <si>
    <t>Operator of an oceanfront hotel in Cape Cod, MA, offering a private beach and beachfront pool with views of Nantucket Sound. The hotel also features a rooftop restaurant, 14 Sea Street, and live music during the summer at the outdoor pool. Additional services include arranging deep-sea fishing charters, whale watching tours, and day trips to Martha's Vineyard or Nantucket.</t>
  </si>
  <si>
    <t>2024: 62, 2025: 59</t>
  </si>
  <si>
    <t>469357-03</t>
  </si>
  <si>
    <t>Pero</t>
  </si>
  <si>
    <t>267666-58P</t>
  </si>
  <si>
    <t>Horst Erbel</t>
  </si>
  <si>
    <t>Managing Director and Chairman of Management the Board</t>
  </si>
  <si>
    <t>+49 (0)82 3160 110</t>
  </si>
  <si>
    <t>Konigsbrunn, Germany</t>
  </si>
  <si>
    <t>Hunnenstraße 18</t>
  </si>
  <si>
    <t>Konigsbrunn</t>
  </si>
  <si>
    <t>86343</t>
  </si>
  <si>
    <t>+49 (0)82 3160 1181 0</t>
  </si>
  <si>
    <t>pero.info@pero.ag</t>
  </si>
  <si>
    <t>Erda</t>
  </si>
  <si>
    <t>PERO AG</t>
  </si>
  <si>
    <t>HRB 73</t>
  </si>
  <si>
    <t>Augsburg District Court</t>
  </si>
  <si>
    <t>Manufacturer of parts cleaning systems intended to develop innovative systems for the cleaning of workpieces made from metal, plastic, glass, ceramic and combined materials. The company manufactures parts cleaning systems for many different industries including automotive and aerospace, jewellery and watch-making, lighting, electrical and optical equipment production.</t>
  </si>
  <si>
    <t>cleaning system, machinery, parts cleaning, parts cleaning equipment, parts cleaning system</t>
  </si>
  <si>
    <t>2010: 100, 2011: 100, 2012: 162, 2013: 100, 2014: 100, 2015: 100, 2016: 100, 2017: 100, 2018: 100, 2019: 100, 2020: 204, 2021: 190, 2022: 187, 2023: 193</t>
  </si>
  <si>
    <t>569630-08</t>
  </si>
  <si>
    <t>PGMall</t>
  </si>
  <si>
    <t>Kuala Lumpur, Malaysia</t>
  </si>
  <si>
    <t>Jalan Stesen Sentral</t>
  </si>
  <si>
    <t>Federal Territory Of Kuala Lumpur</t>
  </si>
  <si>
    <t>50470</t>
  </si>
  <si>
    <t>enquiry@pgmall.my</t>
  </si>
  <si>
    <t>200801035285</t>
  </si>
  <si>
    <t>Online shopping marketplace in Malaysia with a vast selection of products, including fashion, electronics, home and lifestyle, healthcare, and sports and recreation. PGMall.my offers a range of products for babies and children, as well as jewelry, watches, and other fashion accessories for men and women. The marketplace also provides healthcare supplements, medical supplies, and personal care items, and traditional clothing such as baju kurung and baju melayu. PGMall.my also features electronic devices such as smartphones and computers.</t>
  </si>
  <si>
    <t>2023: 65</t>
  </si>
  <si>
    <t>160809-76</t>
  </si>
  <si>
    <t>Philipp Plein</t>
  </si>
  <si>
    <t>137253-88P</t>
  </si>
  <si>
    <t>Founder &amp; Managing Director</t>
  </si>
  <si>
    <t>plein@philipp-plein.com</t>
  </si>
  <si>
    <t>+41 (0)91 208 3161</t>
  </si>
  <si>
    <t>Lugano, Switzerland</t>
  </si>
  <si>
    <t>Via Pietro Capelli 18</t>
  </si>
  <si>
    <t>Lugano</t>
  </si>
  <si>
    <t>6900</t>
  </si>
  <si>
    <t>+41 (0)71 414 2560</t>
  </si>
  <si>
    <t>vip@philipp-plein.com</t>
  </si>
  <si>
    <t>Cream della</t>
  </si>
  <si>
    <t>Philipp Plein International AG</t>
  </si>
  <si>
    <t>Fendi, Balenciaga, Givenchy, Bottega Veneta, Diane Von Furstenberg, Bally UK Sales, Gianni Versace, Balmain Paris, Giorgio Armani (Internet Retail), Guccio Gucci, BCBG Max Azria Group, Coach Stores, Hermes International, Saks, Bally Japan, Chanel, Louis Vuitton, CELINE (Clothing)</t>
  </si>
  <si>
    <t>Manufacturer and designer of fashion handbags, watches, jewelry, and shoes intended to offer luxury products to women, men, and kids. The company offers blazers, high heels and sandals, sneakers, suits, trousers, T-shirts, and more, thereby enabling sophisticated and ultra-contemporary consumers with trendy fashion products and accessories.</t>
  </si>
  <si>
    <t>Accessories, Clothing, Internet Retail*, Luxury Goods</t>
  </si>
  <si>
    <t>LOHAS &amp; Wellness, Manufacturing</t>
  </si>
  <si>
    <t>clothing brand, clothing brand designer, fashion luxury, luxury handbags, luxury handbags seller, luxury shoes, watches and jewelry</t>
  </si>
  <si>
    <t>2022: 462, 2025: 700</t>
  </si>
  <si>
    <t>Promotion (New) Philipp Plein, Founder &amp; Managing Director</t>
  </si>
  <si>
    <t>626779-00</t>
  </si>
  <si>
    <t>Pozitif Teknoloji</t>
  </si>
  <si>
    <t>Istanbul, Turkey</t>
  </si>
  <si>
    <t>Gürsel Mh. Nurtaç Cd. Nu:13/1 Ultimod Plaza Kağıthane / İstanbul</t>
  </si>
  <si>
    <t>Istanbul</t>
  </si>
  <si>
    <t>Kağıthane</t>
  </si>
  <si>
    <t>34400</t>
  </si>
  <si>
    <t>Operator of Apple authorized education, sales, and service in Turkey. The entity offers a variety of Apple products such as MacBooks, iPads, iPhones, Apple Watches, and accessories. Additionally, they provide technical support and training services for both individuals and businesses.</t>
  </si>
  <si>
    <t>apple authorized reseller, apple authorized service provider, apple products, apple services, digital transformation, mobile device management</t>
  </si>
  <si>
    <t>768735-46</t>
  </si>
  <si>
    <t>Prime Protective</t>
  </si>
  <si>
    <t>Brooklyn, NY</t>
  </si>
  <si>
    <t>26 Court St Ste 2204</t>
  </si>
  <si>
    <t>Brooklyn</t>
  </si>
  <si>
    <t>11242-1122</t>
  </si>
  <si>
    <t>+1 (718) 715-4092</t>
  </si>
  <si>
    <t>Prime Protective Inc</t>
  </si>
  <si>
    <t>Provider of security solutions for residential, commercial, and retail clients. The security service firm offers unarmed security guards, surge and crowd control, access monitoring, and escort services, serving Brooklyn, New York. Licensed by the New York State Watch, Guard and Patrol Agency and a member of ASIS International.</t>
  </si>
  <si>
    <t>2025: 120</t>
  </si>
  <si>
    <t>247660-93</t>
  </si>
  <si>
    <t>Radcliffe Jewelers</t>
  </si>
  <si>
    <t>Pikesville, MD</t>
  </si>
  <si>
    <t>Pikesville</t>
  </si>
  <si>
    <t>21208</t>
  </si>
  <si>
    <t>+1 (410) 321-6590</t>
  </si>
  <si>
    <t>Operator of three retail locations providing a variety of jewelry, watches, diamonds, china, crystal, silver, and giftware. The retailer is an official Rolex jeweler and offers pre-owned watches, estate jewelry, and handbags. They also offer watch repair and servicing for Rolex watches. Customers can schedule appointments and contact their staff for assistance.</t>
  </si>
  <si>
    <t>creative industry, crystal jewelry, employee satisfaction, luxury gift, luxury shopping, merchandise selection, merchandise service, personal shopping, service operations, shopping needs</t>
  </si>
  <si>
    <t>2024: 62, 2025: 65</t>
  </si>
  <si>
    <t>131826-79</t>
  </si>
  <si>
    <t>Raymond Weil</t>
  </si>
  <si>
    <t>378839-26P</t>
  </si>
  <si>
    <t>Elie Bernheim</t>
  </si>
  <si>
    <t>Geneva, Switzerland</t>
  </si>
  <si>
    <t>36-38 avenue Eugène-Lance</t>
  </si>
  <si>
    <t>P.O. Box 1569</t>
  </si>
  <si>
    <t>Geneva</t>
  </si>
  <si>
    <t>1211</t>
  </si>
  <si>
    <t>RW</t>
  </si>
  <si>
    <t>Raymond Weil S.A.</t>
  </si>
  <si>
    <t>Operator of a watch manufacturing company headquartered in Geneva, Switzerland. The company provides a wide range of luxury watches for men, and women with precise craftsmanship.</t>
  </si>
  <si>
    <t>Accessories, Luxury Goods*, Specialty Retail</t>
  </si>
  <si>
    <t>luxury goods, luxury swiss watches, swiss watches, watches maker, watches manufacturing, watches manufacturing company, watches winder</t>
  </si>
  <si>
    <t>620838-46</t>
  </si>
  <si>
    <t>Redlemon</t>
  </si>
  <si>
    <t>Lomas Altas, Mexico</t>
  </si>
  <si>
    <t>Paseo de la Reforma 2654, Piso 18</t>
  </si>
  <si>
    <t>Lomas Altas</t>
  </si>
  <si>
    <t>Mexico City</t>
  </si>
  <si>
    <t>11950</t>
  </si>
  <si>
    <t>Mexico</t>
  </si>
  <si>
    <t>Retailer of a diverse range of products and accessories, such as kitchen utensils, baby items, cameras, and electronics. The website offers free shipping to Mexico on orders over a certain amount, a discount on first-time purchases with a code, and information on the company's brands and product categories. Additionally, the website provides customer support and a corporate sales program.</t>
  </si>
  <si>
    <t>Catalog Retail</t>
  </si>
  <si>
    <t>Catalog Retail*</t>
  </si>
  <si>
    <t>casual watches, outdoor air</t>
  </si>
  <si>
    <t>2024: 59</t>
  </si>
  <si>
    <t>130242-43</t>
  </si>
  <si>
    <t>Reis-Nichols</t>
  </si>
  <si>
    <t>Indianapolis, IN</t>
  </si>
  <si>
    <t>Indianapolis</t>
  </si>
  <si>
    <t>Indiana</t>
  </si>
  <si>
    <t>46240</t>
  </si>
  <si>
    <t>+1 (317) 961-8640</t>
  </si>
  <si>
    <t>Retailer of fine jewelry and luxury watches in Indianapolis. The entity offers a diverse selection of jewelry, watches, and engagement rings from various brands, as well as custom design services and expert jewelry consultants. Established in 1919.</t>
  </si>
  <si>
    <t>Systems and Information Management</t>
  </si>
  <si>
    <t>Systems and Information Management*</t>
  </si>
  <si>
    <t>business content, business site, content business, content site, family resources, jewelry manufacturing, manufacturing site, merchandise business, process manufacturing, real estate, right courses</t>
  </si>
  <si>
    <t>2022: 75, 2023: 73, 2024: 77, 2025: 78</t>
  </si>
  <si>
    <t>635927-32</t>
  </si>
  <si>
    <t>Renata Batteries</t>
  </si>
  <si>
    <t>422700-85P</t>
  </si>
  <si>
    <t>Stefan Pfrommer</t>
  </si>
  <si>
    <t>stefan.pfrommer@renata.com</t>
  </si>
  <si>
    <t>+41 (0)61 975 7575</t>
  </si>
  <si>
    <t>Itingen, Switzerland</t>
  </si>
  <si>
    <t>Kreuzenstrasse 30</t>
  </si>
  <si>
    <t>Itingen</t>
  </si>
  <si>
    <t>Kanton Basel-Landschaft</t>
  </si>
  <si>
    <t>4452</t>
  </si>
  <si>
    <t>Renata SA</t>
  </si>
  <si>
    <t>Manufacturer of watches, batteries, and OEM electronic appliances based in Itingen, Switzerland. The company offers products like silver oxide batteries for consumers and special silver oxide batteries for industry, high-pulse silver oxide batteries, 3 v-lithium batteries, rechargeable lithium-polymer batteries, and more.</t>
  </si>
  <si>
    <t>Electrical Equipment*, Household Appliances</t>
  </si>
  <si>
    <t>batteries and chargers supplier, battery equipment manufacturer, battery product supplier, lithium polymer battery, oem electronic, rechargeable battery, rechargeable battery manufacturer, watches manufacturer</t>
  </si>
  <si>
    <t>2024: 250</t>
  </si>
  <si>
    <t>569563-30</t>
  </si>
  <si>
    <t>Rijksmuseum</t>
  </si>
  <si>
    <t>Museumstraat 1</t>
  </si>
  <si>
    <t>North Holland</t>
  </si>
  <si>
    <t>1071 XX</t>
  </si>
  <si>
    <t>+31 (0)20 674 7000</t>
  </si>
  <si>
    <t>info@rijksmuseum.nl</t>
  </si>
  <si>
    <t>Operator of a national museum in the Netherlands, showcasing Dutch history from 1200 to present day through their own collection and (inter)national loans. The entity employs around 750 individuals with a range of backgrounds and positions. The management structure includes a three-member board and a Supervisory Board.</t>
  </si>
  <si>
    <t>16th century, 17th century, 18th century, 19th century, 20th century, asian art, middle ages, pierre cuypers, the netherlands, the night watches, vans gogh</t>
  </si>
  <si>
    <t>2023: 784</t>
  </si>
  <si>
    <t>503361-28</t>
  </si>
  <si>
    <t>Roamer of Switzerland</t>
  </si>
  <si>
    <t>311994-82P</t>
  </si>
  <si>
    <t>Christian Frommherz</t>
  </si>
  <si>
    <t>Chief Executive Officer &amp; Owner</t>
  </si>
  <si>
    <t>+41 (0)91 456 6969</t>
  </si>
  <si>
    <t>Wallbach, Switzerland</t>
  </si>
  <si>
    <t>Hohle Gasse 7</t>
  </si>
  <si>
    <t>Wallbach</t>
  </si>
  <si>
    <t>4323</t>
  </si>
  <si>
    <t>info@roamer.ch</t>
  </si>
  <si>
    <t>Roamer</t>
  </si>
  <si>
    <t>Roamer of Switzerland AG</t>
  </si>
  <si>
    <t>Developer and manufacturer of distinctive Swiss-made quality wrist watch designed for men and women. The company specializes in developing, designing, and manufacturing a wide range of automatic, chronograph, skeleton, and classic swiss made watches at reasonable prices.</t>
  </si>
  <si>
    <t>accessories brand, watch retailer, watches accessories, watches design, watches maker, watches stores</t>
  </si>
  <si>
    <t>1888: 6, 1895: 60, 1940: 1200</t>
  </si>
  <si>
    <t>248248-63</t>
  </si>
  <si>
    <t>Roche Harbor</t>
  </si>
  <si>
    <t>Friday Harbor, WA</t>
  </si>
  <si>
    <t>Friday Harbor</t>
  </si>
  <si>
    <t>98250</t>
  </si>
  <si>
    <t>Seaside resort on San Juan Island offering accommodations, dining, shopping, and activities. Roche Harbor Resort features a marina with 377 slips for vessels up to 150', a history dating back to the 18th century, complimentary wifi, an off-leash dog park, and The Company Store for boating and picnicking provisions. Wedding and event planning services are also available.</t>
  </si>
  <si>
    <t>Construction (Non-Wood)</t>
  </si>
  <si>
    <t>Raw Materials (Non-Wood)</t>
  </si>
  <si>
    <t>Beverages, Raw Materials (Non-Wood)*</t>
  </si>
  <si>
    <t>full service hotel, grocery shopping, hotel accommodation, luxurious hotel, modern amenities, service vessels, waterfront dining, waterfront resort, whale watching</t>
  </si>
  <si>
    <t>2024: 101, 2025: 103</t>
  </si>
  <si>
    <t>750650-68</t>
  </si>
  <si>
    <t>Rothfuss Gmbh U. Co.</t>
  </si>
  <si>
    <t>Hemmingen, Germany</t>
  </si>
  <si>
    <t>Schlosshaldenstr. 7</t>
  </si>
  <si>
    <t>Hemmingen</t>
  </si>
  <si>
    <t>71282</t>
  </si>
  <si>
    <t>Rothfuss Gmbh U. Co. KG</t>
  </si>
  <si>
    <t>HRA 201449</t>
  </si>
  <si>
    <t>Retailer of luxury watches for discerning customers. The company offers a variety of watches from brands such as Rolex, Patek Philippe, Audemars Piguet, Vacheron Constantin, A. Lange &amp; Söhne, and Jaeger LeCoultre, serving watch enthusiasts and collectors in Stuttgart, Germany. Customers can visit their boutique to view and purchase watches, as well as receive consultations.</t>
  </si>
  <si>
    <t>2012: 50, 2013: 50, 2014: 50, 2015: 50, 2016: 61, 2017: 61</t>
  </si>
  <si>
    <t>631551-61</t>
  </si>
  <si>
    <t>Saddik &amp; Mohamed Attar</t>
  </si>
  <si>
    <t>Tujjar Jeddah Offices - 2766 Mohamed Altayeb Altunsi Al Khalidiyah District, Villa # 37</t>
  </si>
  <si>
    <t>Saddik &amp; Mohamed Attar Co.</t>
  </si>
  <si>
    <t>Retailer of Rolex and TUDOR watches in Saudi Arabia. Saddik and Mohamed Attar Co. is a commercial entity registered in the Kingdom of Saudi Arabia and serves as the agent for Rolex Watch Company. The partnership was established in 1958. The company operates exclusive boutique locations in key cities such as Makkah, Madinah, Jeddah, and Riyadh, providing a premium customer experience.</t>
  </si>
  <si>
    <t>2024: 87</t>
  </si>
  <si>
    <t>622257-58</t>
  </si>
  <si>
    <t>SarniOro</t>
  </si>
  <si>
    <t>Chieti, Italy</t>
  </si>
  <si>
    <t>Chieti</t>
  </si>
  <si>
    <t>Retailer of jewelry, watches, and accessories from top brands. The company features a vast array of products, including Swarovski, Chiara Ferragni, Michael Kors, and Daniel Wellington, and also offers items with diamonds, precious stones, and special alloys. They also provide home decor, such as fragrances, candles, and decorative items. The company offers free shipping for orders above a specified amount.</t>
  </si>
  <si>
    <t>luxury goods</t>
  </si>
  <si>
    <t>2024: 220</t>
  </si>
  <si>
    <t>137163-61</t>
  </si>
  <si>
    <t>Secuirty Reconnaissance Team Inc</t>
  </si>
  <si>
    <t>Plano, TX</t>
  </si>
  <si>
    <t>Plano</t>
  </si>
  <si>
    <t>75075</t>
  </si>
  <si>
    <t>+1 (800) 266-7119</t>
  </si>
  <si>
    <t>e.portnoy@srteam-inc.com</t>
  </si>
  <si>
    <t>Provider of professional security services to various industries. The Security Reconnaissance Team offers armed and unarmed on-site security, vehicle patrol, event security, fire watch, camera monitoring, and healthcare security officer services. The family-owned and operated company has been providing security services since 2005 and has locations in Dallas/Fort Worth, Houston, San Antonio, Austin, and Mississippi.</t>
  </si>
  <si>
    <t>personal protection, physical security, security, security personnel, security services</t>
  </si>
  <si>
    <t>2024: 72, 2025: 77</t>
  </si>
  <si>
    <t>242913-70</t>
  </si>
  <si>
    <t>Securityutah</t>
  </si>
  <si>
    <t>Midvale, UT</t>
  </si>
  <si>
    <t>Midvale</t>
  </si>
  <si>
    <t>Utah</t>
  </si>
  <si>
    <t>84047</t>
  </si>
  <si>
    <t>+1 (801) 818-3000</t>
  </si>
  <si>
    <t>Provider of security and investigation services in Utah. Centurion Security &amp; Investigations Inc. offers corporate building security, construction security, front desk security, industrial security, community security, manufacturing security, apartment security, fire watch security, mobile patrols, and private investigations. The company uses real-time GPS tracking and reporting software to ensure quality service and provides reports with digital time and date-stamped guard tours, photos, and audio recordings. They also have a fleet of vehicles equipped with first aid, safety, and first responder equipment.</t>
  </si>
  <si>
    <t>background investigation, professional security services, record track, security surveillance services, security technology service, surveillance investigation, surveillance technology, technology security service, track record, workers compensation service</t>
  </si>
  <si>
    <t>2024: 80, 2025: 74</t>
  </si>
  <si>
    <t>512737-48</t>
  </si>
  <si>
    <t>Sellita</t>
  </si>
  <si>
    <t>322205-77P</t>
  </si>
  <si>
    <t>Miguel Garcia</t>
  </si>
  <si>
    <t>Owner &amp; Chief Executive Officer</t>
  </si>
  <si>
    <t>garcia@sellita.ch</t>
  </si>
  <si>
    <t>+41 (0)32 967 9960</t>
  </si>
  <si>
    <t>Cret-du-Locle 11</t>
  </si>
  <si>
    <t>+41 (0)32 967 9967</t>
  </si>
  <si>
    <t>info@sellita.ch</t>
  </si>
  <si>
    <t>Sellita Watch Co SA</t>
  </si>
  <si>
    <t>Operator of a watch manufacturing company based in La Chaux-de-Fonds, Switzerland. The company watches contain features of chronograph, moon phase, small second, central second, bicompax, tricompax and monopusher, enabling people to get watches as per their needs.</t>
  </si>
  <si>
    <t>Other Consumer Durables, Personal Products*</t>
  </si>
  <si>
    <t>watches dealer, watches designer, watches maker, watches manufacturer, watches manufacturing company, watchmaking firm</t>
  </si>
  <si>
    <t>2022: 135</t>
  </si>
  <si>
    <t>405782-65</t>
  </si>
  <si>
    <t>Senior Watch</t>
  </si>
  <si>
    <t>Saint John, Canada</t>
  </si>
  <si>
    <t>361-33 Hanover St</t>
  </si>
  <si>
    <t>Saint John</t>
  </si>
  <si>
    <t>New Brunswick</t>
  </si>
  <si>
    <t>E2L 3G1</t>
  </si>
  <si>
    <t>+1 (506) 634-8906</t>
  </si>
  <si>
    <t>Senior Watch Inc</t>
  </si>
  <si>
    <t>Senior Watch is a Saint John, NB based private company whose line of business is Management consulting services</t>
  </si>
  <si>
    <t>Consulting Services (B2B)*, Educational and Training Services (B2C)</t>
  </si>
  <si>
    <t>2021: 85</t>
  </si>
  <si>
    <t>707809-33</t>
  </si>
  <si>
    <t>Shenzhen Awell Technology</t>
  </si>
  <si>
    <t>425807-65P</t>
  </si>
  <si>
    <t>Tina Yu</t>
  </si>
  <si>
    <t>tyu@awellgadgets.com</t>
  </si>
  <si>
    <t>+852 9813 7236</t>
  </si>
  <si>
    <t>Hong Kong, Hong Kong</t>
  </si>
  <si>
    <t>Flat/Room 1205 12/Floor</t>
  </si>
  <si>
    <t>Tai Sang Bank Building, 130-132 Des Voeux Road</t>
  </si>
  <si>
    <t>Awell</t>
  </si>
  <si>
    <t>Shenzhen Awell Technology Co.,Ltd</t>
  </si>
  <si>
    <t>Manufacturer of innovative electronic devices intended for enhancing everyday life. The company provides a wide range of gadgets that incorporate advanced technology, user-friendly interfaces, and durable construction, enabling consumers to enjoy seamless connectivity and convenience in their daily activities while ensuring reliability and efficiency in performance.</t>
  </si>
  <si>
    <t>Electronics (B2C)*, Other Consumer Durables</t>
  </si>
  <si>
    <t>car charger, electronic device, electronic device makers, micro cable, wall charger, watch bands</t>
  </si>
  <si>
    <t>2012: 2, 2015: 40, 2017: 100, 2019: 180, 2021: 250</t>
  </si>
  <si>
    <t>249150-79</t>
  </si>
  <si>
    <t>Shopidc</t>
  </si>
  <si>
    <t>Yakima, WA</t>
  </si>
  <si>
    <t>Yakima</t>
  </si>
  <si>
    <t>98902</t>
  </si>
  <si>
    <t>Retailer of fine jewelry and watches with multiple locations in Florida. The company offers a wide range of jewelry, including engagement rings, wedding bands, watches, and fine jewelry. They also provide jewelry repair and custom design services, as well as education on the Four Cs of diamonds. Additionally, International Diamond Center buys and sells pre-owned Rolex watches.</t>
  </si>
  <si>
    <t>Other Apparel</t>
  </si>
  <si>
    <t>Other Apparel*, Other Retail</t>
  </si>
  <si>
    <t>business transaction, diamond manufacturer, entrepreneurial community, entrepreneurial experience, generation facilities, jewelry manufacturer, jewelry manufacturing, manufacturing business, manufacturing facility, wholesaler industry</t>
  </si>
  <si>
    <t>2024: 107, 2025: 113</t>
  </si>
  <si>
    <t>570606-22</t>
  </si>
  <si>
    <t>Silvermoon Jewellers</t>
  </si>
  <si>
    <t>Auckland, New Zealand</t>
  </si>
  <si>
    <t>80 St Lukes Rd</t>
  </si>
  <si>
    <t>Auckland</t>
  </si>
  <si>
    <t>1025</t>
  </si>
  <si>
    <t>New Zealand</t>
  </si>
  <si>
    <t>+64 (0)9 666 0143</t>
  </si>
  <si>
    <t>enquiries@silvermoon.net.nz</t>
  </si>
  <si>
    <t>Manufacturer of fine jewelry specializing in diamond engagement rings. The company offers a variety of jewelry pieces such as bracelets, bangles, wedding bands, and watches for both men and women. Customers can conveniently shop online and enjoy financing options and free shipping on orders over $150.</t>
  </si>
  <si>
    <t>144632-17</t>
  </si>
  <si>
    <t>Simply Computing</t>
  </si>
  <si>
    <t>Vancouver, Canada</t>
  </si>
  <si>
    <t>1690 West Broadway</t>
  </si>
  <si>
    <t>Vancouver</t>
  </si>
  <si>
    <t>British Columbia</t>
  </si>
  <si>
    <t>V6J 1X6</t>
  </si>
  <si>
    <t>+1 (604) 714-1450</t>
  </si>
  <si>
    <t>enquiries@simply.ca</t>
  </si>
  <si>
    <t>Retailer and service provider of Apple products and accessories. Simply Computing offers a variety of Apple products and services, including the Apple Watch, iPhone, and Mac, as well as accessories, training, and Mac-based business solutions. The company has multiple locations across Canada, serving Apple enthusiasts and businesses alike.</t>
  </si>
  <si>
    <t>online trade, shops online</t>
  </si>
  <si>
    <t>2024: 68, 2025: 65</t>
  </si>
  <si>
    <t>483552-82</t>
  </si>
  <si>
    <t>Singer (Switzerland)</t>
  </si>
  <si>
    <t>219395-17P</t>
  </si>
  <si>
    <t>Joris Engisch</t>
  </si>
  <si>
    <t>Owner &amp; President</t>
  </si>
  <si>
    <t>+41 (0)32 911 1313</t>
  </si>
  <si>
    <t>Boudry, Switzerland</t>
  </si>
  <si>
    <t>Route de la Gare 70</t>
  </si>
  <si>
    <t>Boudry</t>
  </si>
  <si>
    <t>2017</t>
  </si>
  <si>
    <t>+41 (0)32 911 1314</t>
  </si>
  <si>
    <t>Singer</t>
  </si>
  <si>
    <t>Jean Singer &amp; Cie SA</t>
  </si>
  <si>
    <t>Manufacturer and supplier of watches headquartered in Boudry, Switzerland.</t>
  </si>
  <si>
    <t>Accessories*, Other Consumer Durables</t>
  </si>
  <si>
    <t>designer watches, watches maker, watches manufacturer, watches manufacturing, watches producer, watches suuplier</t>
  </si>
  <si>
    <t>2021: 50</t>
  </si>
  <si>
    <t>605963-53</t>
  </si>
  <si>
    <t>Sinn Spezialuhren</t>
  </si>
  <si>
    <t>Frankfurt am Main, Germany</t>
  </si>
  <si>
    <t>Wilhelm-Fay-Straße 21</t>
  </si>
  <si>
    <t>Frankfurt am Main</t>
  </si>
  <si>
    <t>65936</t>
  </si>
  <si>
    <t>+49 (0)69 9784 140</t>
  </si>
  <si>
    <t>info@sinn.de</t>
  </si>
  <si>
    <t>Frankfurter Markenuhren GmbH</t>
  </si>
  <si>
    <t>Sinn Spezialuhren GmbH</t>
  </si>
  <si>
    <t>HRB 38841</t>
  </si>
  <si>
    <t>Frankfurt am Main District Court</t>
  </si>
  <si>
    <t>Manufacturer and retailer of wristwatches designed to provide functional and precision timekeeping. The company specializes in pilot watches, diver watches, and limited edition models, serving watch enthusiasts and collectors. Their diverse collections and accessories cater to a wide range of preferences and styles, ensuring options for every customer.</t>
  </si>
  <si>
    <t>2009: 50, 2010: 50, 2011: 50, 2012: 76, 2013: 50, 2014: 88, 2015: 92, 2016: 98, 2017: 50, 2018: 50, 2019: 50, 2020: 50, 2021: 131</t>
  </si>
  <si>
    <t>336753-28</t>
  </si>
  <si>
    <t>Sissy's Log Cabin</t>
  </si>
  <si>
    <t>277050-52P</t>
  </si>
  <si>
    <t>Bill Jones</t>
  </si>
  <si>
    <t>Chief Operating Officer</t>
  </si>
  <si>
    <t>bill@sissyslogcabin.com</t>
  </si>
  <si>
    <t>+1 (870) 879-3040</t>
  </si>
  <si>
    <t>Pine Bluff, AR</t>
  </si>
  <si>
    <t>2319 South Camden Road</t>
  </si>
  <si>
    <t>Pine Bluff</t>
  </si>
  <si>
    <t>Arkansas</t>
  </si>
  <si>
    <t>71603</t>
  </si>
  <si>
    <t>info@sissyslogcabin.com</t>
  </si>
  <si>
    <t>Sissy's Log Cabin, Inc.</t>
  </si>
  <si>
    <t>Operator of an e-commerce portal intended to offer a wide range of luxurious accessories. The company offers a wide range of accessories that include but are not limited to bridal rings, engagement rings, wedding bands and diamonds along with a large selection of luxury watches from iconic bands, besides providing custom designing services on jewelry products, enabling customers to choose from and purchase a wide range of accessories for auspicious occasions.</t>
  </si>
  <si>
    <t>accessories, custom jewelry, custom jewelry designer, custom jewelry retailer, ecommerce, ecommerce store, ecommerce system, online retail, online retailer, timepieces, watches</t>
  </si>
  <si>
    <t>2021: 57, 2022: 60, 2023: 60</t>
  </si>
  <si>
    <t>758005-48</t>
  </si>
  <si>
    <t>Srp Security</t>
  </si>
  <si>
    <t>Tampa, FL</t>
  </si>
  <si>
    <t>2701 W Busch Blvd Ste 264</t>
  </si>
  <si>
    <t>Tampa</t>
  </si>
  <si>
    <t>33618-4579</t>
  </si>
  <si>
    <t>+1 (800) 909-1209</t>
  </si>
  <si>
    <t>Srp Security Llc</t>
  </si>
  <si>
    <t>Provider of private security services intended to ensure safety and protection. The company offers on-site security, event security, gatehouse security, hotel security, and equipment watch, serving clients primarily in Florida and throughout the US. They employ security officers and utilize technology such as body cameras and GPS tracking systems.</t>
  </si>
  <si>
    <t>security</t>
  </si>
  <si>
    <t>2025: 50</t>
  </si>
  <si>
    <t>341307-82</t>
  </si>
  <si>
    <t>Stoneybrook</t>
  </si>
  <si>
    <t>Crewkerne, United Kingdom</t>
  </si>
  <si>
    <t>Verulam House 1 Cropmead Somerset</t>
  </si>
  <si>
    <t>Crewkerne</t>
  </si>
  <si>
    <t>TA18 7HQ</t>
  </si>
  <si>
    <t>Stoneybrook Limited</t>
  </si>
  <si>
    <t>09320665</t>
  </si>
  <si>
    <t>Maker and seller of handcrafted heirloom clocks featuring German movements and solid wood construction. Stoneybrook Clocks offers a variety of timepieces including wall clocks, mantel clocks, floor clocks, and watches. The company has been in operation since the late 1960s and has recently expanded their product line to include contemporary clocks made in the United States. They also have a unique product with exclusive rights until 2023.</t>
  </si>
  <si>
    <t>2018: 42, 2019: 38, 2020: 30, 2021: 30, 2022: 39, 2023: 50</t>
  </si>
  <si>
    <t>225028-54</t>
  </si>
  <si>
    <t>Techscheme</t>
  </si>
  <si>
    <t>Bromley, United Kingdom</t>
  </si>
  <si>
    <t>Third Floor 17 London Road</t>
  </si>
  <si>
    <t>Bromley</t>
  </si>
  <si>
    <t>BR1 1DE</t>
  </si>
  <si>
    <t>Techscheme Limited</t>
  </si>
  <si>
    <t>05233989</t>
  </si>
  <si>
    <t>Operator of Techscheme, a benefit program enabling employees to purchase technology products at a discounted price through salary deductions. The program offers a variety of products, such as smartphones, fitness watches, smart home technology, and white goods. Employers can tailor the program to their requirements, and the company provides support and resources for both employers and employees.</t>
  </si>
  <si>
    <t>2019: 3, 2020: 75, 2021: 68, 2022: 62, 2023: 66, 2024: 69</t>
  </si>
  <si>
    <t>Eleanor HealthCare Group</t>
  </si>
  <si>
    <t>490171-69</t>
  </si>
  <si>
    <t>Tempus Arte</t>
  </si>
  <si>
    <t>348682-33P</t>
  </si>
  <si>
    <t>Alexander Diaz</t>
  </si>
  <si>
    <t>Managing Director Tempus Arte Grundstücks Verwaltungs UG and Group CEO / Managing Director (Lang &amp; Heyne, STOWA, UWD, Experience Center Munich)</t>
  </si>
  <si>
    <t>a.gutierrez@tempusarte.com</t>
  </si>
  <si>
    <t>+49 (0)89 6800 550</t>
  </si>
  <si>
    <t>Ramersdorfer Strasse 1</t>
  </si>
  <si>
    <t>Bavaria</t>
  </si>
  <si>
    <t>81669</t>
  </si>
  <si>
    <t>info@tempusarte.com</t>
  </si>
  <si>
    <t>Tempus Arte GmbH &amp; Co. KG</t>
  </si>
  <si>
    <t>HRA 89938</t>
  </si>
  <si>
    <t>München District Court</t>
  </si>
  <si>
    <t>Operator of a watch manufacturing holding company based in Munich, Germany. The company operates various watch-developing and manufacturing companies and specializes in the entrepreneurial and financial development of the brands.</t>
  </si>
  <si>
    <t>Accessories*, Holding Companies</t>
  </si>
  <si>
    <t>branding watches, watches company, watches designer, watches developer, watches manufacturer, watches manufacturing</t>
  </si>
  <si>
    <t>2022: 59</t>
  </si>
  <si>
    <t>750322-36</t>
  </si>
  <si>
    <t>The Bradford Exchange, Ltd. Deutsche Zweigniederlassung</t>
  </si>
  <si>
    <t>Rodermark, Germany</t>
  </si>
  <si>
    <t>Johann-Friedrich-Bottger-Strasse 1 - 3</t>
  </si>
  <si>
    <t>Rodermark</t>
  </si>
  <si>
    <t>63322</t>
  </si>
  <si>
    <t>The Bradford Exchange Ltd. Deutsche</t>
  </si>
  <si>
    <t>HRB 32509</t>
  </si>
  <si>
    <t>Offenbach am Main District Court</t>
  </si>
  <si>
    <t>Retailer and distributor of collectible items and personalized gifts intended to provide unique and customized products. The company offers artist dolls, jewelry, watches, personalized items, collectible coins, model trains, and themed merchandise, serving collectors and gift-givers.</t>
  </si>
  <si>
    <t>2011: 20, 2012: 20, 2013: 20, 2014: 20, 2015: 20, 2016: 20, 2017: 50</t>
  </si>
  <si>
    <t>558673-39</t>
  </si>
  <si>
    <t>The Counterterrorism Group</t>
  </si>
  <si>
    <t>Washington, DC</t>
  </si>
  <si>
    <t>2 Massachusetts Avenue NW</t>
  </si>
  <si>
    <t>District of Columbia</t>
  </si>
  <si>
    <t>20013</t>
  </si>
  <si>
    <t>+1 (202) 643-2848</t>
  </si>
  <si>
    <t>info@counterterrorismgroup.com</t>
  </si>
  <si>
    <t>The company primarily operates in the Security Services (B2B) industry. The Counterterrorism Group was founded in 2004 and is headquartered in Washington, DC.</t>
  </si>
  <si>
    <t>active shooter training, cyber security, emergency management, personal security, private investigator, religious institution outreach and support, reporting writing and briefing, threat hunting, threat understanding and assessment, travel alerts, watches officer</t>
  </si>
  <si>
    <t>2023: 87, 2024: 95, 2025: 84</t>
  </si>
  <si>
    <t>443219-32</t>
  </si>
  <si>
    <t>The Criterion Collection</t>
  </si>
  <si>
    <t>399513-70P</t>
  </si>
  <si>
    <t>Peter Becker</t>
  </si>
  <si>
    <t>+1 (212) 756-8822</t>
  </si>
  <si>
    <t>215 Park Avenue South</t>
  </si>
  <si>
    <t>10003</t>
  </si>
  <si>
    <t>Criterion Collection</t>
  </si>
  <si>
    <t>The Criterion Collection Inc.</t>
  </si>
  <si>
    <t>Operator of a production company intended for presenting classic and contemporary films. The company offers boutique home video releases, adding supplementary material to film releases, and special features, enabling cinematographers to encourage the audience to repeat watching and deepen the appreciation of the art of film.</t>
  </si>
  <si>
    <t>Media and Information Services (B2B), Movies, Music and Entertainment*</t>
  </si>
  <si>
    <t>contemporary film, film restoration, online streaming, performance advertising, publishing media, streaming information</t>
  </si>
  <si>
    <t>2024: 90, 2025: 97</t>
  </si>
  <si>
    <t>129856-15</t>
  </si>
  <si>
    <t>The Kelly Companies</t>
  </si>
  <si>
    <t>Cheverly, MD</t>
  </si>
  <si>
    <t>1701 Cabin Branch Drive</t>
  </si>
  <si>
    <t>Cheverly</t>
  </si>
  <si>
    <t>20785</t>
  </si>
  <si>
    <t>+1 (301) 386-2800</t>
  </si>
  <si>
    <t>Provider of printing, fulfillment, marketing, and convention services. The Kelly Companies offer a wide range of services including printed materials, large format printing, promotional items, variable data and direct mail, personalized URLs and websites, digital magazines, graphic design, event contracting, technical production, event management, program development, supportive materials, marketing strategies, branding and copywriting, website design and development, advertising, community-based campaigns, online advocacy, media production, and course development. They also offer virtual meeting services and OSHA 10 and 30 online courses. The company has been in business for over 40 years and is a 100-percent-union shop.</t>
  </si>
  <si>
    <t>based platform, party content, video editor, watches video</t>
  </si>
  <si>
    <t>2024: 51, 2025: 51</t>
  </si>
  <si>
    <t>545305-33</t>
  </si>
  <si>
    <t>TIME HOUSE</t>
  </si>
  <si>
    <t>Dubai Water Canal 1 Street</t>
  </si>
  <si>
    <t>Retailer of luxury fashion accessories and toys in Dubai, UAE. Time House offers a variety of high-end watches, bags, and eyewear from top brands for both men and women. Their online store also features couple watches, men's and women's jewelry. The company has a strong retail presence with over 45 outlets in the Middle East.</t>
  </si>
  <si>
    <t>2023: 157</t>
  </si>
  <si>
    <t>517602-61</t>
  </si>
  <si>
    <t>Tomstar</t>
  </si>
  <si>
    <t>7 Floor, B building, Shilong Huilongda Industry</t>
  </si>
  <si>
    <t>Shiyan Street, Baoan</t>
  </si>
  <si>
    <t>+86 (0)755 8358 8177</t>
  </si>
  <si>
    <t>+86 (0)755 8358 8159</t>
  </si>
  <si>
    <t>Tomstar Industrial LTD</t>
  </si>
  <si>
    <t>Manufacturer of consumer electronics like tablet pc and smart watches headquartered in Shenzhen, China. The company offers digital entertainment products such as notebooks, mini projectors, cameras, and other wearable smart watch products.</t>
  </si>
  <si>
    <t>Manufacturing, Mobile</t>
  </si>
  <si>
    <t>consumer electronics, consumer electronics manufacturer, electronic goods, mini projectors, smart watch, smart watch makers, tablet pc</t>
  </si>
  <si>
    <t>2023: 300</t>
  </si>
  <si>
    <t>471387-97</t>
  </si>
  <si>
    <t>TORRES</t>
  </si>
  <si>
    <t>271834-57P</t>
  </si>
  <si>
    <t>Ricardo Torres</t>
  </si>
  <si>
    <t>Board Member</t>
  </si>
  <si>
    <t>+351 21 324 3030</t>
  </si>
  <si>
    <t>Lisbon, Portugal</t>
  </si>
  <si>
    <t>39, Almirante Reis avenue</t>
  </si>
  <si>
    <t>Lisbon</t>
  </si>
  <si>
    <t>1150-018</t>
  </si>
  <si>
    <t>Portugal</t>
  </si>
  <si>
    <t>apoiocliente@torres.pt</t>
  </si>
  <si>
    <t>Torres Joalheiros SA.</t>
  </si>
  <si>
    <t>500049408</t>
  </si>
  <si>
    <t>EU Registries</t>
  </si>
  <si>
    <t>Operator of jewelry brands intended to select exclusive and high-quality watches, jewelry pieces, and premium assistance. The company's brands are crafted from the finest raw materials and assembled with scrupulous attention to detail and produced to the most exacting standards, enabling consumers to guarantee an excellent and personalized service preserving the values of quality, refinement, and exclusivity in the market</t>
  </si>
  <si>
    <t>jewelry design, jewelry piece, refinement services, watches design, watches jewelry, watches shops</t>
  </si>
  <si>
    <t>2021: 100</t>
  </si>
  <si>
    <t>465978-16</t>
  </si>
  <si>
    <t>TUDOR (Switzerland)</t>
  </si>
  <si>
    <t>Rue François-Dussaud 3-5-7</t>
  </si>
  <si>
    <t>+41 (0)22 302 2200</t>
  </si>
  <si>
    <t>+41 (0)22 300 2255</t>
  </si>
  <si>
    <t>contact@tudorwatch.com</t>
  </si>
  <si>
    <t>TUDORwatch SA</t>
  </si>
  <si>
    <t>Manufacturer and designer of luxury watch dedicated to making watches that are built to last. The company offers sports watches, classic watches, diving watches, analog watches and other related watches to men and women.</t>
  </si>
  <si>
    <t>diving watches, watches, watches manufacturer, watches seller</t>
  </si>
  <si>
    <t>2021: 73</t>
  </si>
  <si>
    <t>643446-64</t>
  </si>
  <si>
    <t>Ubisoft Toronto</t>
  </si>
  <si>
    <t>224 Wallace Ave</t>
  </si>
  <si>
    <t>M6H 1V7</t>
  </si>
  <si>
    <t>Developer of video games based in Toronto, Canada. The company has created game projects for major brands in the industry, including Assassin's Creed, Far Cry, Watch Dogs, For Honor, and Tom Clancy's Splinter Cell. The company prioritizes diversity and inclusivity in its teams and games.</t>
  </si>
  <si>
    <t>3d art, game design, performance capture, video game development</t>
  </si>
  <si>
    <t>2024: 515</t>
  </si>
  <si>
    <t>617789-62</t>
  </si>
  <si>
    <t>Utilis AG</t>
  </si>
  <si>
    <t>Mullheim, Switzerland</t>
  </si>
  <si>
    <t>Kreuzlingerstrasse 22</t>
  </si>
  <si>
    <t>Mullheim</t>
  </si>
  <si>
    <t>Thurgau</t>
  </si>
  <si>
    <t>8555</t>
  </si>
  <si>
    <t>Manufacturer of precision tools for micromechanics, watch- and medical technology. The company's e-shop provides customers with the ability to search and purchase products, as well as access support tools like calculators and advisors. With a history dating back to 1915, the company values sustainability, innovation, and employee success. In addition to their e-shop, they offer a distribution network and customized tools.</t>
  </si>
  <si>
    <t>2024: 67</t>
  </si>
  <si>
    <t>321004-00</t>
  </si>
  <si>
    <t>vardeco sa</t>
  </si>
  <si>
    <t>Westborough, MA</t>
  </si>
  <si>
    <t>Westborough</t>
  </si>
  <si>
    <t>01581</t>
  </si>
  <si>
    <t>contact@vardeco.com</t>
  </si>
  <si>
    <t>Manufacturer of high precision screw machining, milling, and high-speed turning for various series. Vardeco SA is a Swiss entity that is part of the Acrotec Group, a leading supplier of mechanical movement components to the Swiss watch industry and a contract manufacturer in the MedTech sector in Europe. The company also has subsidiaries specializing in precision machining for watchmaking, industrial applications, and fiber optics.</t>
  </si>
  <si>
    <t>Clinics/Outpatient Services*, Other Devices and Supplies</t>
  </si>
  <si>
    <t>automotive parts industry, communication industry, electronics industrial, electronics production, industrial components, industrial electronics, machining aerospace, market communication, production efficiency, production machining</t>
  </si>
  <si>
    <t>2024: 64, 2025: 62</t>
  </si>
  <si>
    <t>483900-67</t>
  </si>
  <si>
    <t>VERDURA</t>
  </si>
  <si>
    <t>281746-00P</t>
  </si>
  <si>
    <t>Ward Landrigan</t>
  </si>
  <si>
    <t>wlandrigan@verdura.com</t>
  </si>
  <si>
    <t>+1 (212) 758-3388</t>
  </si>
  <si>
    <t>745 Fifth Avenue</t>
  </si>
  <si>
    <t>Suite 1205</t>
  </si>
  <si>
    <t>10151</t>
  </si>
  <si>
    <t>info@verdura.com</t>
  </si>
  <si>
    <t>Operator of a collection of fine jewelry brands intended to specialize in luxury goods and pieces of jewelry. The brands offer bracelets and watches, brooches, ear clips, necklaces, rings, solitaire, and vintage products, uses genuine gemstones like diamonds, sapphires, rubies, or emerald for its timeless, elegant, and distinctly original designs, enabling women to feel confident and beautiful to highlight their natural beauty.</t>
  </si>
  <si>
    <t>Catalog Retail, Luxury Goods*</t>
  </si>
  <si>
    <t>bracelets collection, diamond earrings, jewelry branding, jewelry design, jewelry gold</t>
  </si>
  <si>
    <t>2021: 57</t>
  </si>
  <si>
    <t>573356-53</t>
  </si>
  <si>
    <t>Vibholm Guld Og Solv</t>
  </si>
  <si>
    <t>401207-77P</t>
  </si>
  <si>
    <t>Tenna Rasmussen</t>
  </si>
  <si>
    <t>trasmussen@vibholm.dk</t>
  </si>
  <si>
    <t>+45 5944 0292</t>
  </si>
  <si>
    <t>Risskov, Denmark</t>
  </si>
  <si>
    <t>Sindalsvej 34</t>
  </si>
  <si>
    <t>Risskov</t>
  </si>
  <si>
    <t>Aarhus</t>
  </si>
  <si>
    <t>8240</t>
  </si>
  <si>
    <t>Denmark</t>
  </si>
  <si>
    <t>info@vibholm.dk</t>
  </si>
  <si>
    <t>Nina Smykker Aps, Pbh Nr. 23.034 Aps</t>
  </si>
  <si>
    <t>Vibholm Guld Og Solv Aps</t>
  </si>
  <si>
    <t>19111490</t>
  </si>
  <si>
    <t>Central Business Register (Virk)</t>
  </si>
  <si>
    <t>Retailer of jewelry and watch products intended for customers include individuals seeking fine jewelry for personal use or gifts. The company offers wedding rings, swap series, necklaces, bracelets, pendants, and anklets, waterproof jewelry, thereby helping industries maintain and repair jewelry items.</t>
  </si>
  <si>
    <t>bracelets product, jewelry chain, necklaces jewelry, watches show, waterproof jewelry, wedding rings</t>
  </si>
  <si>
    <t>2015: 61, 2016: 94, 2017: 129, 2018: 153, 2019: 190, 2020: 241, 2021: 275, 2022: 267, 2023: 239, 2024: 288, 2025: 282</t>
  </si>
  <si>
    <t>130728-70</t>
  </si>
  <si>
    <t>Wallace Bishop Jeweller</t>
  </si>
  <si>
    <t>Manufacturer and retailer of jewelry, watches, and giftware with a rich history dating back to 1917. The Australian family-owned business operates 38 stores and a manufacturing factory in Brisbane, employing over 300 people.</t>
  </si>
  <si>
    <t>diamond jewelry, engagement rings, gold jewelry, wedding rings</t>
  </si>
  <si>
    <t>2020: 500</t>
  </si>
  <si>
    <t>619637-86</t>
  </si>
  <si>
    <t>Watches of Switzerland Australia</t>
  </si>
  <si>
    <t>294 Collins Street, Melbourne</t>
  </si>
  <si>
    <t>3000</t>
  </si>
  <si>
    <t>The company primarily operates in the Specialty Retail industry. Watches of Switzerland Australia was founded in 1997 and is headquartered in Melbourne, Australia.</t>
  </si>
  <si>
    <t>swiss timepieces, swiss watches</t>
  </si>
  <si>
    <t>2024: 62</t>
  </si>
  <si>
    <t>225109-45</t>
  </si>
  <si>
    <t>WE Fashion</t>
  </si>
  <si>
    <t>290186-74P</t>
  </si>
  <si>
    <t>Joris Aperghis</t>
  </si>
  <si>
    <t>joris.aperghis@wefashion.com</t>
  </si>
  <si>
    <t>+31 (0)30 247 9636</t>
  </si>
  <si>
    <t>Utrecht, Netherlands</t>
  </si>
  <si>
    <t>Reactorweg 101</t>
  </si>
  <si>
    <t>Utrecht</t>
  </si>
  <si>
    <t>3542 AD</t>
  </si>
  <si>
    <t>+31 (0)80 093 3274</t>
  </si>
  <si>
    <t>contact@wefashion.com</t>
  </si>
  <si>
    <t>Hij, Zij</t>
  </si>
  <si>
    <t>WE</t>
  </si>
  <si>
    <t>We Europe B.V.</t>
  </si>
  <si>
    <t>30089877</t>
  </si>
  <si>
    <t>Everlane, Mango (Spain), Reformation, Desigual, Cotton On, UNIQLO Company, J.Crew Group, Tobi (Clothing)</t>
  </si>
  <si>
    <t>Operator of a fashion brand intended to offer quality, fashionable collections for customers at a reasonable price. The company provides short sleeve shirts, waistcoats, festival outfits, wedding wear, two-piece sets, and watches.</t>
  </si>
  <si>
    <t>Clothing*</t>
  </si>
  <si>
    <t>casual clothing, clothing brand, clothing company, clothing line, fashion brand, smart casual wear, waistcoat, wedding wear</t>
  </si>
  <si>
    <t>2023: 1013</t>
  </si>
  <si>
    <t>764349-40</t>
  </si>
  <si>
    <t>Well Werks Energy</t>
  </si>
  <si>
    <t>Covington, LA</t>
  </si>
  <si>
    <t>71677 Riverside Dr</t>
  </si>
  <si>
    <t>Covington</t>
  </si>
  <si>
    <t>70433-9031</t>
  </si>
  <si>
    <t>+1 (985) 317-3362</t>
  </si>
  <si>
    <t>Well Werks Energy, Llc</t>
  </si>
  <si>
    <t>Operator of well testing, flowback, and equipment rental services for land-based well operations. The company offers drill out, well testing, flowback, production watch, and stand-alone equipment rental solutions, serving clients in regions such as the Greater Permian Basin, Colorado, Wyoming, Louisiana, Ohio, and Pennsylvania.</t>
  </si>
  <si>
    <t>Energy</t>
  </si>
  <si>
    <t>Exploration, Production and Refining</t>
  </si>
  <si>
    <t>Energy Exploration</t>
  </si>
  <si>
    <t>Energy Exploration*</t>
  </si>
  <si>
    <t>2025: 56</t>
  </si>
  <si>
    <t>751433-23</t>
  </si>
  <si>
    <t>Wilhelm Kaufmann &amp; Sohn</t>
  </si>
  <si>
    <t>Muhlheim Am Main, Germany</t>
  </si>
  <si>
    <t>Lammerspieler Strasse 85</t>
  </si>
  <si>
    <t>Muhlheim Am Main</t>
  </si>
  <si>
    <t>63165</t>
  </si>
  <si>
    <t>Wilhelm Kaufmann &amp; Sohn KG</t>
  </si>
  <si>
    <t>HRA 40199</t>
  </si>
  <si>
    <t>Manufacturer and retailer of leather watch bands designed to enhance timepieces. The company produces and sells a variety of handcrafted watch bands made from materials such as alligator, ostrich, lizard, and horse leather, serving watch enthusiasts and luxury watch owners. They offer custom orders and a range of designs to fit various watch brands. The products are made in Germany.</t>
  </si>
  <si>
    <t>2011: 10, 2013: 50, 2014: 50, 2015: 50, 2016: 50, 2017: 50</t>
  </si>
  <si>
    <t>750704-50</t>
  </si>
  <si>
    <t>Wilhelm Kaufmann &amp; Sohn Uhrenarmbänderfabrik Thüringen</t>
  </si>
  <si>
    <t>Kleinschmalkalden, Germany</t>
  </si>
  <si>
    <t>Brotheroder Strasse 55</t>
  </si>
  <si>
    <t>Kleinschmalkalden</t>
  </si>
  <si>
    <t>Thuringia</t>
  </si>
  <si>
    <t>98593</t>
  </si>
  <si>
    <t>Wilhelm Kaufmann &amp; Sohn Uhrenarmbänderfabrik Thüringen GmbH</t>
  </si>
  <si>
    <t>HRB 305283</t>
  </si>
  <si>
    <t>Jena District Court</t>
  </si>
  <si>
    <t>Manufacturer and retailer of watch straps designed to offer high-quality, handmade leather options for watch enthusiasts. The company produces handmade leather watch straps in various materials, including alligator, ostrich, and lizard leather, serving watch owners and collectors. They provide a range of products compatible with many watch brands and also offer custom strap services. The company is based in Germany.</t>
  </si>
  <si>
    <t>2011: 50, 2012: 50, 2013: 50, 2014: 50, 2015: 50, 2016: 50, 2017: 50, 2018: 50, 2019: 50, 2020: 50</t>
  </si>
  <si>
    <t>749026-18</t>
  </si>
  <si>
    <t>Witschi Electronic AG</t>
  </si>
  <si>
    <t>Buren an der Aare, Switzerland</t>
  </si>
  <si>
    <t>Bahnhofstrasse 26</t>
  </si>
  <si>
    <t>Buren an der Aare</t>
  </si>
  <si>
    <t>3294</t>
  </si>
  <si>
    <t>Manufacturer of precision measurement devices for the watch industry, designed to ensure accurate performance and quality. The company produces measuring and testing equipment, serving watch manufacturers and retailers. Their product offerings include systems for measuring mechanical and electronic watches, leak testing, torque measurement, and calibration services.</t>
  </si>
  <si>
    <t>leak test systems</t>
  </si>
  <si>
    <t>2025: 61</t>
  </si>
  <si>
    <t>619716-43</t>
  </si>
  <si>
    <t>Xcite by Alghanim Electronics</t>
  </si>
  <si>
    <t>Kuwait City, Kuwait</t>
  </si>
  <si>
    <t>P.O. Box 24172, Safat</t>
  </si>
  <si>
    <t>Kuwait City</t>
  </si>
  <si>
    <t>13102</t>
  </si>
  <si>
    <t>Kuwait</t>
  </si>
  <si>
    <t>Online retailer of electronics products and services based in Kuwait, providing a wide variety of products including computers, phones, personal audio, TVs, home theaters, gaming, large and small home appliances, air conditioning, cameras, smart home devices, health, gym, and personal care products, outdoor and travel gear, perfumes, toys, baby items, watches, home accessories, and gift cards. The company also offers services such as pay monthly installments, express delivery, service centers, and B2B corporate sales.</t>
  </si>
  <si>
    <t>2024: 1003</t>
  </si>
  <si>
    <t>517538-44</t>
  </si>
  <si>
    <t>Yoho Display</t>
  </si>
  <si>
    <t>Room 201, Building D, Room 201-301, Building I</t>
  </si>
  <si>
    <t>ChengDexuan Science and Tech Park, LiSonglang Community 2rd Industrial Area</t>
  </si>
  <si>
    <t>Guangdong Province</t>
  </si>
  <si>
    <t>+86 (0)71 0311 7622</t>
  </si>
  <si>
    <t>+86 (0)755 2817 8233</t>
  </si>
  <si>
    <t>Yoho Display Co., Ltd.</t>
  </si>
  <si>
    <t>Manufacturer of electronic wearables, and mobile phone LCM display screens created for electronic watches, tablets, mobile phones, POS devices, E-readers and E-papers, vehicle navigation, and smart home equipment. The company offers salt spray testing equipment, cold and hot shock equipment, AOI automatic detectors, metallographic particle inspection equipment, experimental machines, and more, thereby enabling clients with high-precision optoelectronic detection machines.</t>
  </si>
  <si>
    <t>automatic detectors, electronic wearables, particle inspection, spray testing, testing equipment, testing equipment manufacturer</t>
  </si>
  <si>
    <t>2023: 2000</t>
  </si>
  <si>
    <t>244641-07</t>
  </si>
  <si>
    <t>Zadok</t>
  </si>
  <si>
    <t>77056</t>
  </si>
  <si>
    <t>+1 (713) 960-8950</t>
  </si>
  <si>
    <t>Operator of a jewelry store in Houston, TX, providing custom design, watch repair, and buying/selling of jewelry and timepieces. The store offers appointments with consultants, financing, and layaway options.</t>
  </si>
  <si>
    <t>Application Software*, Hotels and Resorts, Other Commercial Services</t>
  </si>
  <si>
    <t>design assistance, facility maintenance service, individual finance, maintenance program, maintenance repair, maintenance repair services, online diamond purchasing, online insurance purchasing, precious jewelry, repair maintenance</t>
  </si>
  <si>
    <t>2024: 54, 2025: 59</t>
  </si>
  <si>
    <t>604611-10</t>
  </si>
  <si>
    <t>Zecha Hartmetall-Werkzeugfabrikation</t>
  </si>
  <si>
    <t>Konigsbach-Stein, Germany</t>
  </si>
  <si>
    <t>Benzstrasse 2</t>
  </si>
  <si>
    <t>Konigsbach-Stein</t>
  </si>
  <si>
    <t>75203</t>
  </si>
  <si>
    <t>Zecha Hartmetallwerkzeugfabrikation GmbH</t>
  </si>
  <si>
    <t>Zecha Hartmetall-Werkzeugfabrikation GmbH</t>
  </si>
  <si>
    <t>HRB 504729</t>
  </si>
  <si>
    <t>Mannheim District Court</t>
  </si>
  <si>
    <t>Provider of precision cutting tools and process technologies for the medical, automotive, and watch industries. The company specializes in micro cutting, blanking, and forming tools, holding ISO 9001:2015 certification. Their products are designed to meet the high standards required in precision engineering applications.</t>
  </si>
  <si>
    <t>2011: 50, 2012: 50, 2013: 90, 2014: 50, 2015: 98, 2016: 98, 2017: 98, 2018: 98, 2019: 98, 2020: 125, 2021: 125, 2022: 117</t>
  </si>
  <si>
    <t>© PitchBook Data, Inc.  2025</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</si>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</sst>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
    <numFmt numFmtId="165" formatCode="#,##0.00;[Red]\-#,##0.00"/>
    <numFmt numFmtId="166" formatCode="#,##0.00&quot;%&quot;;[Red]\-#,##0.00&quot;%&quot;"/>
    <numFmt numFmtId="167" formatCode="#,##0.00;[Red]\(#,##0.00\)"/>
    <numFmt numFmtId="168" formatCode="#,##0;[Red]\(#,##0\)"/>
    <numFmt numFmtId="169" formatCode="0000"/>
    <numFmt numFmtId="170" formatCode="dd\-mmm\-yyyy"/>
  </numFmts>
  <fonts count="11" x14ac:knownFonts="1">
    <font>
      <sz val="11"/>
      <color theme="1"/>
      <name val="Calibri"/>
      <family val="2"/>
      <scheme val="minor"/>
    </font>
    <font>
      <b/>
      <sz val="8"/>
      <color rgb="FFFFFFFF"/>
      <name val="Open Sans"/>
      <family val="2"/>
    </font>
    <font>
      <sz val="8"/>
      <color rgb="FF000000"/>
      <name val="Open Sans"/>
      <family val="2"/>
    </font>
    <font>
      <sz val="8"/>
      <color rgb="FF26649E"/>
      <name val="Open Sans"/>
      <family val="2"/>
    </font>
    <font>
      <b/>
      <sz val="8"/>
      <color rgb="FF000000"/>
      <name val="Open Sans"/>
      <family val="2"/>
    </font>
    <font>
      <b/>
      <sz val="16"/>
      <color rgb="FF000000"/>
      <name val="Open Sans"/>
      <family val="2"/>
    </font>
    <font>
      <b/>
      <sz val="8"/>
      <color rgb="FF26649E"/>
      <name val="Open Sans"/>
      <family val="2"/>
    </font>
    <font>
      <b/>
      <sz val="14"/>
      <color rgb="FF000000"/>
      <name val="Open Sans"/>
      <family val="2"/>
    </font>
    <font>
      <i/>
      <sz val="10"/>
      <color rgb="FF000000"/>
      <name val="Open Sans"/>
      <family val="2"/>
    </font>
    <font>
      <i/>
      <sz val="10"/>
      <color rgb="FF26649E"/>
      <name val="Open Sans"/>
      <family val="2"/>
    </font>
    <font>
      <sz val="8"/>
      <color rgb="FF000000"/>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8">
    <xf numFmtId="0" fontId="0" fillId="0" borderId="0"/>
    <xf numFmtId="0" fontId="1" fillId="0" borderId="0">
      <alignment horizontal="center" vertical="center" wrapText="1"/>
    </xf>
    <xf numFmtId="0" fontId="2" fillId="0" borderId="1">
      <alignment horizontal="left" vertical="center" indent="1"/>
    </xf>
    <xf numFmtId="0" fontId="2" fillId="0" borderId="1">
      <alignment horizontal="right" vertical="center" indent="1"/>
    </xf>
    <xf numFmtId="0" fontId="2" fillId="0" borderId="1">
      <alignment horizontal="center" vertical="center"/>
    </xf>
    <xf numFmtId="0" fontId="3" fillId="0" borderId="1">
      <alignment horizontal="left" vertical="center" indent="1"/>
    </xf>
    <xf numFmtId="0" fontId="3" fillId="0" borderId="1">
      <alignment horizontal="right" vertical="center" indent="1"/>
    </xf>
    <xf numFmtId="0" fontId="10" fillId="0" borderId="0">
      <alignment horizontal="left" vertical="center"/>
    </xf>
    <xf numFmtId="0" fontId="2" fillId="0" borderId="0">
      <alignment horizontal="right" vertical="top"/>
    </xf>
    <xf numFmtId="0" fontId="6" fillId="0" borderId="0">
      <alignment horizontal="left" vertical="top"/>
    </xf>
    <xf numFmtId="0" fontId="4" fillId="0" borderId="0">
      <alignment horizontal="left" vertical="top" wrapText="1"/>
    </xf>
    <xf numFmtId="0" fontId="5" fillId="0" borderId="0">
      <alignment horizontal="left" vertical="center"/>
    </xf>
    <xf numFmtId="0" fontId="2" fillId="0" borderId="0">
      <alignment horizontal="right" vertical="center"/>
    </xf>
    <xf numFmtId="0" fontId="4" fillId="0" borderId="0">
      <alignment horizontal="left" vertical="center"/>
    </xf>
    <xf numFmtId="0" fontId="7" fillId="0" borderId="0">
      <alignment horizontal="left" vertical="center"/>
    </xf>
    <xf numFmtId="0" fontId="8" fillId="4" borderId="0">
      <alignment horizontal="left" vertical="center"/>
    </xf>
    <xf numFmtId="0" fontId="9" fillId="4" borderId="0">
      <alignment horizontal="left" vertical="center"/>
    </xf>
    <xf numFmtId="0" fontId="8" fillId="4" borderId="0">
      <alignment horizontal="right" vertical="center"/>
    </xf>
  </cellStyleXfs>
  <cellXfs count="27">
    <xf numFmtId="0" fontId="0" fillId="0" borderId="0" xfId="0"/>
    <xf numFmtId="170" fontId="2" fillId="0" borderId="1" xfId="3" applyNumberFormat="1">
      <alignment horizontal="right" vertical="center" indent="1"/>
    </xf>
    <xf numFmtId="0" fontId="1" fillId="2" borderId="0" xfId="1" applyFill="1">
      <alignment horizontal="center" vertical="center" wrapText="1"/>
    </xf>
    <xf numFmtId="0" fontId="2" fillId="0" borderId="1" xfId="2">
      <alignment horizontal="left" vertical="center" indent="1"/>
    </xf>
    <xf numFmtId="165" fontId="2" fillId="0" borderId="1" xfId="3" applyNumberFormat="1">
      <alignment horizontal="right" vertical="center" indent="1"/>
    </xf>
    <xf numFmtId="164" fontId="2" fillId="0" borderId="1" xfId="3" applyNumberFormat="1">
      <alignment horizontal="right" vertical="center" indent="1"/>
    </xf>
    <xf numFmtId="0" fontId="2" fillId="0" borderId="1" xfId="3">
      <alignment horizontal="right" vertical="center" indent="1"/>
    </xf>
    <xf numFmtId="166" fontId="2" fillId="0" borderId="1" xfId="3" applyNumberFormat="1">
      <alignment horizontal="right" vertical="center" indent="1"/>
    </xf>
    <xf numFmtId="167" fontId="2" fillId="0" borderId="1" xfId="3" applyNumberFormat="1">
      <alignment horizontal="right" vertical="center" indent="1"/>
    </xf>
    <xf numFmtId="168" fontId="2" fillId="0" borderId="1" xfId="3" applyNumberFormat="1">
      <alignment horizontal="right" vertical="center" indent="1"/>
    </xf>
    <xf numFmtId="169" fontId="2" fillId="0" borderId="1" xfId="3" applyNumberFormat="1">
      <alignment horizontal="right" vertical="center" indent="1"/>
    </xf>
    <xf numFmtId="0" fontId="3" fillId="3" borderId="1" xfId="5" applyFill="1">
      <alignment horizontal="left" vertical="center" indent="1"/>
    </xf>
    <xf numFmtId="0" fontId="3" fillId="0" borderId="1" xfId="5">
      <alignment horizontal="left" vertical="center" indent="1"/>
    </xf>
    <xf numFmtId="0" fontId="2" fillId="3" borderId="1" xfId="2" applyFill="1">
      <alignment horizontal="left" vertical="center" indent="1"/>
    </xf>
    <xf numFmtId="170" fontId="2" fillId="3" borderId="1" xfId="3" applyNumberFormat="1" applyFill="1">
      <alignment horizontal="right" vertical="center" indent="1"/>
    </xf>
    <xf numFmtId="169" fontId="2" fillId="3" borderId="1" xfId="3" applyNumberFormat="1" applyFill="1">
      <alignment horizontal="right" vertical="center" indent="1"/>
    </xf>
    <xf numFmtId="168" fontId="2" fillId="3" borderId="1" xfId="3" applyNumberFormat="1" applyFill="1">
      <alignment horizontal="right" vertical="center" indent="1"/>
    </xf>
    <xf numFmtId="167" fontId="2" fillId="3" borderId="1" xfId="3" applyNumberFormat="1" applyFill="1">
      <alignment horizontal="right" vertical="center" indent="1"/>
    </xf>
    <xf numFmtId="0" fontId="2" fillId="3" borderId="1" xfId="3" applyFill="1">
      <alignment horizontal="right" vertical="center" indent="1"/>
    </xf>
    <xf numFmtId="165" fontId="2" fillId="3" borderId="1" xfId="3" applyNumberFormat="1" applyFill="1">
      <alignment horizontal="right" vertical="center" indent="1"/>
    </xf>
    <xf numFmtId="166" fontId="2" fillId="3" borderId="1" xfId="3" applyNumberFormat="1" applyFill="1">
      <alignment horizontal="right" vertical="center" indent="1"/>
    </xf>
    <xf numFmtId="164" fontId="2" fillId="3" borderId="1" xfId="3" applyNumberFormat="1" applyFill="1">
      <alignment horizontal="right" vertical="center" indent="1"/>
    </xf>
    <xf numFmtId="0" fontId="10" fillId="0" borderId="0" xfId="7">
      <alignment horizontal="left" vertical="center"/>
    </xf>
    <xf numFmtId="0" fontId="7" fillId="0" borderId="0" xfId="14">
      <alignment horizontal="left" vertical="center"/>
    </xf>
    <xf numFmtId="0" fontId="8" fillId="4" borderId="0" xfId="15">
      <alignment horizontal="left" vertical="center"/>
    </xf>
    <xf numFmtId="0" fontId="9" fillId="4" borderId="0" xfId="16">
      <alignment horizontal="left" vertical="center"/>
    </xf>
    <xf numFmtId="0" fontId="8" fillId="4" borderId="0" xfId="17">
      <alignment horizontal="right" vertical="center"/>
    </xf>
  </cellXfs>
  <cellStyles count="18">
    <cellStyle name="bold" xfId="13" xr:uid="{00000000-0005-0000-0000-00000E000000}"/>
    <cellStyle name="defaultStyle" xfId="7" xr:uid="{00000000-0005-0000-0000-000008000000}"/>
    <cellStyle name="fontSize10Italic" xfId="15" xr:uid="{00000000-0005-0000-0000-000010000000}"/>
    <cellStyle name="fontSize10ItalicHyperlink" xfId="16" xr:uid="{00000000-0005-0000-0000-000011000000}"/>
    <cellStyle name="fontSize10ItalicRight" xfId="17" xr:uid="{00000000-0005-0000-0000-000012000000}"/>
    <cellStyle name="fontSize14Bold" xfId="14" xr:uid="{00000000-0005-0000-0000-00000F000000}"/>
    <cellStyle name="fontSize16Bold" xfId="11" xr:uid="{00000000-0005-0000-0000-00000C000000}"/>
    <cellStyle name="horizontalCenterWrapWhiteBold" xfId="1" xr:uid="{00000000-0005-0000-0000-000001000000}"/>
    <cellStyle name="horizontalRight" xfId="12" xr:uid="{00000000-0005-0000-0000-00000D000000}"/>
    <cellStyle name="Normal" xfId="0" builtinId="0"/>
    <cellStyle name="tableCellStyleCenter" xfId="4" xr:uid="{00000000-0005-0000-0000-000004000000}"/>
    <cellStyle name="tableCellStyleLeft" xfId="2" xr:uid="{00000000-0005-0000-0000-000002000000}"/>
    <cellStyle name="tableCellStyleLeftHyperlink" xfId="5" xr:uid="{00000000-0005-0000-0000-000006000000}"/>
    <cellStyle name="tableCellStyleRight" xfId="3" xr:uid="{00000000-0005-0000-0000-000003000000}"/>
    <cellStyle name="tableCellStyleRightHyperlink" xfId="6" xr:uid="{00000000-0005-0000-0000-000007000000}"/>
    <cellStyle name="verticalTopBoldWrapBold" xfId="10" xr:uid="{00000000-0005-0000-0000-00000B000000}"/>
    <cellStyle name="verticalTopHorizontalRight" xfId="8" xr:uid="{00000000-0005-0000-0000-000009000000}"/>
    <cellStyle name="verticalTopHyperlinkBold" xfId="9"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1"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08"/>
  <sheetViews>
    <sheetView showGridLines="0" tabSelected="1" topLeftCell="AP1" workbookViewId="0">
      <selection activeCell="AU14" activeCellId="1" sqref="B6 AU14"/>
    </sheetView>
  </sheetViews>
  <sheetFormatPr defaultRowHeight="14.4" x14ac:dyDescent="0.3"/>
  <cols>
    <col min="1" max="1" width="21.6640625" customWidth="1"/>
    <col min="2" max="2" width="58.5546875" customWidth="1"/>
    <col min="3" max="3" width="29.5546875" customWidth="1"/>
    <col min="4" max="4" width="24.109375" customWidth="1"/>
    <col min="5" max="5" width="29.5546875" customWidth="1"/>
    <col min="6" max="6" width="34.88671875" customWidth="1"/>
    <col min="7" max="7" width="29.5546875" customWidth="1"/>
    <col min="8" max="8" width="38.33203125" customWidth="1"/>
    <col min="9" max="9" width="20.33203125" customWidth="1"/>
    <col min="10" max="10" width="28.88671875" customWidth="1"/>
    <col min="11" max="11" width="18.6640625" customWidth="1"/>
    <col min="12" max="12" width="20.33203125" customWidth="1"/>
    <col min="13" max="13" width="23.109375" customWidth="1"/>
    <col min="14" max="14" width="19.5546875" customWidth="1"/>
    <col min="15" max="15" width="15.88671875" customWidth="1"/>
    <col min="16" max="16" width="20.33203125" customWidth="1"/>
    <col min="17" max="17" width="15.88671875" customWidth="1"/>
    <col min="18" max="18" width="19.5546875" customWidth="1"/>
    <col min="19" max="19" width="27.109375" customWidth="1"/>
    <col min="20" max="20" width="22.6640625" customWidth="1"/>
    <col min="21" max="21" width="27.5546875" customWidth="1"/>
    <col min="22" max="22" width="28" customWidth="1"/>
    <col min="23" max="23" width="28.6640625" customWidth="1"/>
    <col min="24" max="24" width="23.88671875" customWidth="1"/>
    <col min="25" max="26" width="24.44140625" customWidth="1"/>
    <col min="27" max="27" width="16.5546875" customWidth="1"/>
    <col min="28" max="28" width="24.5546875" customWidth="1"/>
    <col min="29" max="29" width="20.44140625" customWidth="1"/>
    <col min="30" max="30" width="27.44140625" customWidth="1"/>
    <col min="31" max="31" width="17.109375" customWidth="1"/>
    <col min="32" max="32" width="15.109375" customWidth="1"/>
    <col min="33" max="33" width="24.6640625" customWidth="1"/>
    <col min="34" max="34" width="23.88671875" customWidth="1"/>
    <col min="35" max="35" width="27.5546875" customWidth="1"/>
    <col min="36" max="36" width="31" customWidth="1"/>
    <col min="37" max="38" width="30" customWidth="1"/>
    <col min="39" max="39" width="25.33203125" customWidth="1"/>
    <col min="40" max="40" width="23.88671875" customWidth="1"/>
    <col min="41" max="41" width="31.33203125" customWidth="1"/>
    <col min="42" max="42" width="15.109375" customWidth="1"/>
    <col min="43" max="43" width="39.6640625" customWidth="1"/>
    <col min="44" max="45" width="31.33203125" customWidth="1"/>
    <col min="46" max="46" width="29.88671875" customWidth="1"/>
    <col min="47" max="47" width="34" customWidth="1"/>
    <col min="48" max="48" width="29.109375" customWidth="1"/>
    <col min="49" max="50" width="29.5546875" customWidth="1"/>
    <col min="51" max="51" width="31.88671875" customWidth="1"/>
    <col min="52" max="52" width="23.33203125" customWidth="1"/>
    <col min="53" max="53" width="22.109375" customWidth="1"/>
    <col min="54" max="54" width="24" customWidth="1"/>
    <col min="55" max="55" width="26.6640625" customWidth="1"/>
    <col min="56" max="56" width="29" customWidth="1"/>
    <col min="57" max="57" width="29.5546875" customWidth="1"/>
    <col min="58" max="58" width="18.6640625" customWidth="1"/>
    <col min="59" max="60" width="21.6640625" customWidth="1"/>
    <col min="61" max="61" width="15.109375" customWidth="1"/>
    <col min="62" max="62" width="20.6640625" customWidth="1"/>
    <col min="63" max="63" width="23" customWidth="1"/>
    <col min="64" max="64" width="25.88671875" customWidth="1"/>
    <col min="65" max="66" width="27.44140625" customWidth="1"/>
    <col min="67" max="67" width="18.6640625" customWidth="1"/>
  </cols>
  <sheetData>
    <row r="1" spans="1:67" ht="34.950000000000003" customHeigh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row>
    <row r="2" spans="1:67" x14ac:dyDescent="0.3">
      <c r="A2" s="13" t="s">
        <v>67</v>
      </c>
      <c r="B2" s="13" t="s">
        <v>68</v>
      </c>
      <c r="C2" s="13" t="s">
        <v>69</v>
      </c>
      <c r="D2" s="21" t="s">
        <v>69</v>
      </c>
      <c r="E2" s="13" t="s">
        <v>69</v>
      </c>
      <c r="F2" s="13" t="s">
        <v>69</v>
      </c>
      <c r="G2" s="13" t="s">
        <v>69</v>
      </c>
      <c r="H2" s="13" t="s">
        <v>69</v>
      </c>
      <c r="I2" s="19">
        <v>49.33</v>
      </c>
      <c r="J2" s="20">
        <v>17.97</v>
      </c>
      <c r="K2" s="19" t="s">
        <v>69</v>
      </c>
      <c r="L2" s="19">
        <v>4.1399999999999997</v>
      </c>
      <c r="M2" s="19" t="s">
        <v>69</v>
      </c>
      <c r="N2" s="19">
        <v>7.9</v>
      </c>
      <c r="O2" s="19">
        <v>6.14</v>
      </c>
      <c r="P2" s="19" t="s">
        <v>69</v>
      </c>
      <c r="Q2" s="19">
        <v>6.39</v>
      </c>
      <c r="R2" s="18" t="s">
        <v>70</v>
      </c>
      <c r="S2" s="13" t="s">
        <v>69</v>
      </c>
      <c r="T2" s="13" t="s">
        <v>69</v>
      </c>
      <c r="U2" s="13" t="s">
        <v>69</v>
      </c>
      <c r="V2" s="13" t="s">
        <v>69</v>
      </c>
      <c r="W2" s="13" t="s">
        <v>69</v>
      </c>
      <c r="X2" s="13" t="s">
        <v>71</v>
      </c>
      <c r="Y2" s="13" t="s">
        <v>72</v>
      </c>
      <c r="Z2" s="13" t="s">
        <v>69</v>
      </c>
      <c r="AA2" s="13" t="s">
        <v>73</v>
      </c>
      <c r="AB2" s="13" t="s">
        <v>69</v>
      </c>
      <c r="AC2" s="18" t="s">
        <v>74</v>
      </c>
      <c r="AD2" s="13" t="s">
        <v>75</v>
      </c>
      <c r="AE2" s="18" t="s">
        <v>76</v>
      </c>
      <c r="AF2" s="18" t="s">
        <v>69</v>
      </c>
      <c r="AG2" s="13" t="s">
        <v>77</v>
      </c>
      <c r="AH2" s="13" t="s">
        <v>78</v>
      </c>
      <c r="AI2" s="13" t="s">
        <v>79</v>
      </c>
      <c r="AJ2" s="13" t="s">
        <v>69</v>
      </c>
      <c r="AK2" s="13" t="s">
        <v>80</v>
      </c>
      <c r="AL2" s="13" t="s">
        <v>81</v>
      </c>
      <c r="AM2" s="13" t="s">
        <v>82</v>
      </c>
      <c r="AN2" s="13" t="s">
        <v>83</v>
      </c>
      <c r="AO2" s="13" t="s">
        <v>69</v>
      </c>
      <c r="AP2" s="13" t="s">
        <v>67</v>
      </c>
      <c r="AQ2" s="13" t="s">
        <v>84</v>
      </c>
      <c r="AR2" s="13" t="s">
        <v>85</v>
      </c>
      <c r="AS2" s="13" t="s">
        <v>86</v>
      </c>
      <c r="AT2" s="13" t="s">
        <v>87</v>
      </c>
      <c r="AU2" s="13" t="s">
        <v>88</v>
      </c>
      <c r="AV2" s="13" t="s">
        <v>69</v>
      </c>
      <c r="AW2" s="13" t="s">
        <v>89</v>
      </c>
      <c r="AX2" s="13" t="s">
        <v>69</v>
      </c>
      <c r="AY2" s="13" t="s">
        <v>90</v>
      </c>
      <c r="AZ2" s="17" t="s">
        <v>69</v>
      </c>
      <c r="BA2" s="13" t="s">
        <v>91</v>
      </c>
      <c r="BB2" s="13" t="s">
        <v>92</v>
      </c>
      <c r="BC2" s="13" t="s">
        <v>93</v>
      </c>
      <c r="BD2" s="11" t="str">
        <f>HYPERLINK("http://www.astrua.com","www.astrua.com")</f>
        <v>www.astrua.com</v>
      </c>
      <c r="BE2" s="11" t="str">
        <f>HYPERLINK("http://www.linkedin.com/company/astrua","http://www.linkedin.com/company/astrua")</f>
        <v>http://www.linkedin.com/company/astrua</v>
      </c>
      <c r="BF2" s="16">
        <v>73</v>
      </c>
      <c r="BG2" s="13" t="s">
        <v>94</v>
      </c>
      <c r="BH2" s="13" t="s">
        <v>69</v>
      </c>
      <c r="BI2" s="13" t="s">
        <v>69</v>
      </c>
      <c r="BJ2" s="15">
        <v>1859</v>
      </c>
      <c r="BK2" s="13" t="s">
        <v>69</v>
      </c>
      <c r="BL2" s="14">
        <v>45512</v>
      </c>
      <c r="BM2" s="13" t="s">
        <v>69</v>
      </c>
      <c r="BN2" s="13" t="s">
        <v>69</v>
      </c>
      <c r="BO2" s="11" t="str">
        <f>HYPERLINK("https://my.pitchbook.com?c=471387-34","View Company Online")</f>
        <v>View Company Online</v>
      </c>
    </row>
    <row r="3" spans="1:67" x14ac:dyDescent="0.3">
      <c r="A3" s="3" t="s">
        <v>95</v>
      </c>
      <c r="B3" s="3" t="s">
        <v>96</v>
      </c>
      <c r="C3" s="3" t="s">
        <v>69</v>
      </c>
      <c r="D3" s="5" t="s">
        <v>69</v>
      </c>
      <c r="E3" s="3" t="s">
        <v>69</v>
      </c>
      <c r="F3" s="3" t="s">
        <v>69</v>
      </c>
      <c r="G3" s="3" t="s">
        <v>69</v>
      </c>
      <c r="H3" s="3" t="s">
        <v>69</v>
      </c>
      <c r="I3" s="4">
        <v>49.1</v>
      </c>
      <c r="J3" s="7">
        <v>3.37</v>
      </c>
      <c r="K3" s="4" t="s">
        <v>69</v>
      </c>
      <c r="L3" s="4">
        <v>3.49</v>
      </c>
      <c r="M3" s="4" t="s">
        <v>69</v>
      </c>
      <c r="N3" s="4">
        <v>4.75</v>
      </c>
      <c r="O3" s="4">
        <v>4.3600000000000003</v>
      </c>
      <c r="P3" s="4" t="s">
        <v>69</v>
      </c>
      <c r="Q3" s="4">
        <v>0</v>
      </c>
      <c r="R3" s="6" t="s">
        <v>70</v>
      </c>
      <c r="S3" s="3" t="s">
        <v>97</v>
      </c>
      <c r="T3" s="3" t="s">
        <v>98</v>
      </c>
      <c r="U3" s="3" t="s">
        <v>99</v>
      </c>
      <c r="V3" s="3" t="s">
        <v>69</v>
      </c>
      <c r="W3" s="3" t="s">
        <v>100</v>
      </c>
      <c r="X3" s="3" t="s">
        <v>101</v>
      </c>
      <c r="Y3" s="3" t="s">
        <v>102</v>
      </c>
      <c r="Z3" s="3" t="s">
        <v>69</v>
      </c>
      <c r="AA3" s="3" t="s">
        <v>103</v>
      </c>
      <c r="AB3" s="3" t="s">
        <v>69</v>
      </c>
      <c r="AC3" s="6" t="s">
        <v>104</v>
      </c>
      <c r="AD3" s="3" t="s">
        <v>105</v>
      </c>
      <c r="AE3" s="6" t="s">
        <v>100</v>
      </c>
      <c r="AF3" s="6" t="s">
        <v>69</v>
      </c>
      <c r="AG3" s="3" t="s">
        <v>106</v>
      </c>
      <c r="AH3" s="3" t="s">
        <v>78</v>
      </c>
      <c r="AI3" s="3" t="s">
        <v>107</v>
      </c>
      <c r="AJ3" s="3" t="s">
        <v>69</v>
      </c>
      <c r="AK3" s="3" t="s">
        <v>69</v>
      </c>
      <c r="AL3" s="3" t="s">
        <v>108</v>
      </c>
      <c r="AM3" s="3" t="s">
        <v>109</v>
      </c>
      <c r="AN3" s="3" t="s">
        <v>110</v>
      </c>
      <c r="AO3" s="3" t="s">
        <v>69</v>
      </c>
      <c r="AP3" s="3" t="s">
        <v>95</v>
      </c>
      <c r="AQ3" s="3" t="s">
        <v>111</v>
      </c>
      <c r="AR3" s="3" t="s">
        <v>85</v>
      </c>
      <c r="AS3" s="3" t="s">
        <v>86</v>
      </c>
      <c r="AT3" s="3" t="s">
        <v>87</v>
      </c>
      <c r="AU3" s="3" t="s">
        <v>112</v>
      </c>
      <c r="AV3" s="3" t="s">
        <v>113</v>
      </c>
      <c r="AW3" s="3" t="s">
        <v>114</v>
      </c>
      <c r="AX3" s="3" t="s">
        <v>69</v>
      </c>
      <c r="AY3" s="3" t="s">
        <v>90</v>
      </c>
      <c r="AZ3" s="8" t="s">
        <v>69</v>
      </c>
      <c r="BA3" s="3" t="s">
        <v>91</v>
      </c>
      <c r="BB3" s="3" t="s">
        <v>92</v>
      </c>
      <c r="BC3" s="3" t="s">
        <v>93</v>
      </c>
      <c r="BD3" s="12" t="str">
        <f>HYPERLINK("http://www.urmaker-bjerke.no","www.urmaker-bjerke.no")</f>
        <v>www.urmaker-bjerke.no</v>
      </c>
      <c r="BE3" s="12" t="str">
        <f>HYPERLINK("http://www.linkedin.com/company/urmakerbjerke","http://www.linkedin.com/company/urmakerbjerke")</f>
        <v>http://www.linkedin.com/company/urmakerbjerke</v>
      </c>
      <c r="BF3" s="9">
        <v>90</v>
      </c>
      <c r="BG3" s="3" t="s">
        <v>115</v>
      </c>
      <c r="BH3" s="3" t="s">
        <v>69</v>
      </c>
      <c r="BI3" s="3" t="s">
        <v>69</v>
      </c>
      <c r="BJ3" s="10">
        <v>1923</v>
      </c>
      <c r="BK3" s="3" t="s">
        <v>69</v>
      </c>
      <c r="BL3" s="1">
        <v>45512</v>
      </c>
      <c r="BM3" s="3" t="s">
        <v>69</v>
      </c>
      <c r="BN3" s="3" t="s">
        <v>69</v>
      </c>
      <c r="BO3" s="12" t="str">
        <f>HYPERLINK("https://my.pitchbook.com?c=471168-28","View Company Online")</f>
        <v>View Company Online</v>
      </c>
    </row>
    <row r="4" spans="1:67" x14ac:dyDescent="0.3">
      <c r="A4" s="13" t="s">
        <v>116</v>
      </c>
      <c r="B4" s="13" t="s">
        <v>117</v>
      </c>
      <c r="C4" s="13" t="s">
        <v>69</v>
      </c>
      <c r="D4" s="21" t="s">
        <v>69</v>
      </c>
      <c r="E4" s="13" t="s">
        <v>69</v>
      </c>
      <c r="F4" s="13" t="s">
        <v>69</v>
      </c>
      <c r="G4" s="13" t="s">
        <v>69</v>
      </c>
      <c r="H4" s="13" t="s">
        <v>69</v>
      </c>
      <c r="I4" s="19">
        <v>48.72</v>
      </c>
      <c r="J4" s="20">
        <v>-9</v>
      </c>
      <c r="K4" s="19" t="s">
        <v>69</v>
      </c>
      <c r="L4" s="19">
        <v>3.53</v>
      </c>
      <c r="M4" s="19" t="s">
        <v>69</v>
      </c>
      <c r="N4" s="19">
        <v>3.34</v>
      </c>
      <c r="O4" s="19">
        <v>2.82</v>
      </c>
      <c r="P4" s="19" t="s">
        <v>69</v>
      </c>
      <c r="Q4" s="19">
        <v>0</v>
      </c>
      <c r="R4" s="18" t="s">
        <v>118</v>
      </c>
      <c r="S4" s="13" t="s">
        <v>119</v>
      </c>
      <c r="T4" s="13" t="s">
        <v>120</v>
      </c>
      <c r="U4" s="13" t="s">
        <v>121</v>
      </c>
      <c r="V4" s="13" t="s">
        <v>122</v>
      </c>
      <c r="W4" s="13" t="s">
        <v>123</v>
      </c>
      <c r="X4" s="13" t="s">
        <v>124</v>
      </c>
      <c r="Y4" s="13" t="s">
        <v>125</v>
      </c>
      <c r="Z4" s="13" t="s">
        <v>69</v>
      </c>
      <c r="AA4" s="13" t="s">
        <v>126</v>
      </c>
      <c r="AB4" s="13" t="s">
        <v>69</v>
      </c>
      <c r="AC4" s="18" t="s">
        <v>127</v>
      </c>
      <c r="AD4" s="13" t="s">
        <v>128</v>
      </c>
      <c r="AE4" s="18" t="s">
        <v>129</v>
      </c>
      <c r="AF4" s="18" t="s">
        <v>130</v>
      </c>
      <c r="AG4" s="13" t="s">
        <v>131</v>
      </c>
      <c r="AH4" s="13" t="s">
        <v>78</v>
      </c>
      <c r="AI4" s="13" t="s">
        <v>132</v>
      </c>
      <c r="AJ4" s="13" t="s">
        <v>69</v>
      </c>
      <c r="AK4" s="13" t="s">
        <v>69</v>
      </c>
      <c r="AL4" s="13" t="s">
        <v>133</v>
      </c>
      <c r="AM4" s="13" t="s">
        <v>134</v>
      </c>
      <c r="AN4" s="13" t="s">
        <v>135</v>
      </c>
      <c r="AO4" s="13" t="s">
        <v>69</v>
      </c>
      <c r="AP4" s="13" t="s">
        <v>116</v>
      </c>
      <c r="AQ4" s="13" t="s">
        <v>136</v>
      </c>
      <c r="AR4" s="13" t="s">
        <v>85</v>
      </c>
      <c r="AS4" s="13" t="s">
        <v>86</v>
      </c>
      <c r="AT4" s="13" t="s">
        <v>137</v>
      </c>
      <c r="AU4" s="13" t="s">
        <v>138</v>
      </c>
      <c r="AV4" s="13" t="s">
        <v>139</v>
      </c>
      <c r="AW4" s="13" t="s">
        <v>140</v>
      </c>
      <c r="AX4" s="13" t="s">
        <v>69</v>
      </c>
      <c r="AY4" s="13" t="s">
        <v>90</v>
      </c>
      <c r="AZ4" s="17" t="s">
        <v>69</v>
      </c>
      <c r="BA4" s="13" t="s">
        <v>91</v>
      </c>
      <c r="BB4" s="13" t="s">
        <v>92</v>
      </c>
      <c r="BC4" s="13" t="s">
        <v>93</v>
      </c>
      <c r="BD4" s="11" t="str">
        <f>HYPERLINK("http://www.juwelo.de","www.juwelo.de")</f>
        <v>www.juwelo.de</v>
      </c>
      <c r="BE4" s="11" t="str">
        <f>HYPERLINK("http://www.linkedin.com/company/juwelo-tv-deutschland-gmbh","http://www.linkedin.com/company/juwelo-tv-deutschland-gmbh")</f>
        <v>http://www.linkedin.com/company/juwelo-tv-deutschland-gmbh</v>
      </c>
      <c r="BF4" s="16">
        <v>206</v>
      </c>
      <c r="BG4" s="13" t="s">
        <v>141</v>
      </c>
      <c r="BH4" s="13" t="s">
        <v>69</v>
      </c>
      <c r="BI4" s="13" t="s">
        <v>69</v>
      </c>
      <c r="BJ4" s="15">
        <v>2008</v>
      </c>
      <c r="BK4" s="13" t="s">
        <v>142</v>
      </c>
      <c r="BL4" s="14">
        <v>45694</v>
      </c>
      <c r="BM4" s="13" t="s">
        <v>69</v>
      </c>
      <c r="BN4" s="13" t="s">
        <v>69</v>
      </c>
      <c r="BO4" s="11" t="str">
        <f>HYPERLINK("https://my.pitchbook.com?c=96913-27","View Company Online")</f>
        <v>View Company Online</v>
      </c>
    </row>
    <row r="5" spans="1:67" x14ac:dyDescent="0.3">
      <c r="A5" s="3" t="s">
        <v>143</v>
      </c>
      <c r="B5" s="3" t="s">
        <v>144</v>
      </c>
      <c r="C5" s="3" t="s">
        <v>69</v>
      </c>
      <c r="D5" s="5" t="s">
        <v>69</v>
      </c>
      <c r="E5" s="3" t="s">
        <v>69</v>
      </c>
      <c r="F5" s="3" t="s">
        <v>69</v>
      </c>
      <c r="G5" s="3" t="s">
        <v>69</v>
      </c>
      <c r="H5" s="3" t="s">
        <v>69</v>
      </c>
      <c r="I5" s="4">
        <v>47.85</v>
      </c>
      <c r="J5" s="7">
        <v>17.23</v>
      </c>
      <c r="K5" s="4" t="s">
        <v>69</v>
      </c>
      <c r="L5" s="4">
        <v>10.95</v>
      </c>
      <c r="M5" s="4" t="s">
        <v>69</v>
      </c>
      <c r="N5" s="4" t="s">
        <v>69</v>
      </c>
      <c r="O5" s="4">
        <v>12.17</v>
      </c>
      <c r="P5" s="4" t="s">
        <v>69</v>
      </c>
      <c r="Q5" s="4">
        <v>0</v>
      </c>
      <c r="R5" s="6" t="s">
        <v>70</v>
      </c>
      <c r="S5" s="3" t="s">
        <v>69</v>
      </c>
      <c r="T5" s="3" t="s">
        <v>69</v>
      </c>
      <c r="U5" s="3" t="s">
        <v>69</v>
      </c>
      <c r="V5" s="3" t="s">
        <v>69</v>
      </c>
      <c r="W5" s="3" t="s">
        <v>69</v>
      </c>
      <c r="X5" s="3" t="s">
        <v>124</v>
      </c>
      <c r="Y5" s="3" t="s">
        <v>145</v>
      </c>
      <c r="Z5" s="3" t="s">
        <v>69</v>
      </c>
      <c r="AA5" s="3" t="s">
        <v>126</v>
      </c>
      <c r="AB5" s="3" t="s">
        <v>126</v>
      </c>
      <c r="AC5" s="6" t="s">
        <v>146</v>
      </c>
      <c r="AD5" s="3" t="s">
        <v>128</v>
      </c>
      <c r="AE5" s="6" t="s">
        <v>69</v>
      </c>
      <c r="AF5" s="6" t="s">
        <v>69</v>
      </c>
      <c r="AG5" s="3" t="s">
        <v>69</v>
      </c>
      <c r="AH5" s="3" t="s">
        <v>78</v>
      </c>
      <c r="AI5" s="3" t="s">
        <v>132</v>
      </c>
      <c r="AJ5" s="3" t="s">
        <v>147</v>
      </c>
      <c r="AK5" s="3" t="s">
        <v>69</v>
      </c>
      <c r="AL5" s="3" t="s">
        <v>69</v>
      </c>
      <c r="AM5" s="3" t="s">
        <v>148</v>
      </c>
      <c r="AN5" s="3" t="s">
        <v>135</v>
      </c>
      <c r="AO5" s="3" t="s">
        <v>69</v>
      </c>
      <c r="AP5" s="3" t="s">
        <v>143</v>
      </c>
      <c r="AQ5" s="3" t="s">
        <v>149</v>
      </c>
      <c r="AR5" s="3" t="s">
        <v>150</v>
      </c>
      <c r="AS5" s="3" t="s">
        <v>151</v>
      </c>
      <c r="AT5" s="3" t="s">
        <v>151</v>
      </c>
      <c r="AU5" s="3" t="s">
        <v>152</v>
      </c>
      <c r="AV5" s="3" t="s">
        <v>69</v>
      </c>
      <c r="AW5" s="3" t="s">
        <v>69</v>
      </c>
      <c r="AX5" s="3" t="s">
        <v>69</v>
      </c>
      <c r="AY5" s="3" t="s">
        <v>90</v>
      </c>
      <c r="AZ5" s="8" t="s">
        <v>69</v>
      </c>
      <c r="BA5" s="3" t="s">
        <v>69</v>
      </c>
      <c r="BB5" s="3" t="s">
        <v>92</v>
      </c>
      <c r="BC5" s="3" t="s">
        <v>93</v>
      </c>
      <c r="BD5" s="12" t="str">
        <f>HYPERLINK("http://schmuckshop24.de","schmuckshop24.de")</f>
        <v>schmuckshop24.de</v>
      </c>
      <c r="BE5" s="3" t="s">
        <v>69</v>
      </c>
      <c r="BF5" s="9">
        <v>161</v>
      </c>
      <c r="BG5" s="3" t="s">
        <v>153</v>
      </c>
      <c r="BH5" s="3" t="s">
        <v>69</v>
      </c>
      <c r="BI5" s="3" t="s">
        <v>69</v>
      </c>
      <c r="BJ5" s="10">
        <v>1997</v>
      </c>
      <c r="BK5" s="3" t="s">
        <v>69</v>
      </c>
      <c r="BL5" s="1">
        <v>45384</v>
      </c>
      <c r="BM5" s="3" t="s">
        <v>69</v>
      </c>
      <c r="BN5" s="3" t="s">
        <v>69</v>
      </c>
      <c r="BO5" s="12" t="str">
        <f>HYPERLINK("https://my.pitchbook.com?c=579637-00","View Company Online")</f>
        <v>View Company Online</v>
      </c>
    </row>
    <row r="6" spans="1:67" x14ac:dyDescent="0.3">
      <c r="A6" s="13" t="s">
        <v>154</v>
      </c>
      <c r="B6" s="13" t="s">
        <v>155</v>
      </c>
      <c r="C6" s="13" t="s">
        <v>69</v>
      </c>
      <c r="D6" s="21" t="s">
        <v>69</v>
      </c>
      <c r="E6" s="13" t="s">
        <v>69</v>
      </c>
      <c r="F6" s="13" t="s">
        <v>69</v>
      </c>
      <c r="G6" s="13" t="s">
        <v>69</v>
      </c>
      <c r="H6" s="13" t="s">
        <v>69</v>
      </c>
      <c r="I6" s="19">
        <v>46.69</v>
      </c>
      <c r="J6" s="20">
        <v>9.68</v>
      </c>
      <c r="K6" s="19">
        <v>16.52</v>
      </c>
      <c r="L6" s="19">
        <v>1.67</v>
      </c>
      <c r="M6" s="19" t="s">
        <v>69</v>
      </c>
      <c r="N6" s="19">
        <v>4.1100000000000003</v>
      </c>
      <c r="O6" s="19">
        <v>2.91</v>
      </c>
      <c r="P6" s="19" t="s">
        <v>69</v>
      </c>
      <c r="Q6" s="19">
        <v>6.64</v>
      </c>
      <c r="R6" s="18" t="s">
        <v>156</v>
      </c>
      <c r="S6" s="13" t="s">
        <v>69</v>
      </c>
      <c r="T6" s="13" t="s">
        <v>69</v>
      </c>
      <c r="U6" s="13" t="s">
        <v>69</v>
      </c>
      <c r="V6" s="13" t="s">
        <v>69</v>
      </c>
      <c r="W6" s="13" t="s">
        <v>69</v>
      </c>
      <c r="X6" s="13" t="s">
        <v>157</v>
      </c>
      <c r="Y6" s="13" t="s">
        <v>158</v>
      </c>
      <c r="Z6" s="13" t="s">
        <v>69</v>
      </c>
      <c r="AA6" s="13" t="s">
        <v>159</v>
      </c>
      <c r="AB6" s="13" t="s">
        <v>160</v>
      </c>
      <c r="AC6" s="18" t="s">
        <v>161</v>
      </c>
      <c r="AD6" s="13" t="s">
        <v>162</v>
      </c>
      <c r="AE6" s="18" t="s">
        <v>69</v>
      </c>
      <c r="AF6" s="18" t="s">
        <v>69</v>
      </c>
      <c r="AG6" s="13" t="s">
        <v>69</v>
      </c>
      <c r="AH6" s="13" t="s">
        <v>78</v>
      </c>
      <c r="AI6" s="13" t="s">
        <v>132</v>
      </c>
      <c r="AJ6" s="13" t="s">
        <v>69</v>
      </c>
      <c r="AK6" s="13" t="s">
        <v>69</v>
      </c>
      <c r="AL6" s="13" t="s">
        <v>163</v>
      </c>
      <c r="AM6" s="13" t="s">
        <v>164</v>
      </c>
      <c r="AN6" s="13" t="s">
        <v>165</v>
      </c>
      <c r="AO6" s="13" t="s">
        <v>166</v>
      </c>
      <c r="AP6" s="13" t="s">
        <v>154</v>
      </c>
      <c r="AQ6" s="13" t="s">
        <v>167</v>
      </c>
      <c r="AR6" s="13" t="s">
        <v>85</v>
      </c>
      <c r="AS6" s="13" t="s">
        <v>86</v>
      </c>
      <c r="AT6" s="13" t="s">
        <v>168</v>
      </c>
      <c r="AU6" s="13" t="s">
        <v>169</v>
      </c>
      <c r="AV6" s="13" t="s">
        <v>69</v>
      </c>
      <c r="AW6" s="13" t="s">
        <v>170</v>
      </c>
      <c r="AX6" s="13" t="s">
        <v>69</v>
      </c>
      <c r="AY6" s="13" t="s">
        <v>90</v>
      </c>
      <c r="AZ6" s="17" t="s">
        <v>69</v>
      </c>
      <c r="BA6" s="13" t="s">
        <v>69</v>
      </c>
      <c r="BB6" s="13" t="s">
        <v>92</v>
      </c>
      <c r="BC6" s="13" t="s">
        <v>93</v>
      </c>
      <c r="BD6" s="11" t="str">
        <f>HYPERLINK("http://lunns.com","lunns.com")</f>
        <v>lunns.com</v>
      </c>
      <c r="BE6" s="13" t="s">
        <v>69</v>
      </c>
      <c r="BF6" s="16">
        <v>121</v>
      </c>
      <c r="BG6" s="13" t="s">
        <v>171</v>
      </c>
      <c r="BH6" s="13" t="s">
        <v>69</v>
      </c>
      <c r="BI6" s="13" t="s">
        <v>69</v>
      </c>
      <c r="BJ6" s="15">
        <v>1954</v>
      </c>
      <c r="BK6" s="13" t="s">
        <v>69</v>
      </c>
      <c r="BL6" s="14">
        <v>45634</v>
      </c>
      <c r="BM6" s="13" t="s">
        <v>69</v>
      </c>
      <c r="BN6" s="13" t="s">
        <v>69</v>
      </c>
      <c r="BO6" s="11" t="str">
        <f>HYPERLINK("https://my.pitchbook.com?c=220526-47","View Company Online")</f>
        <v>View Company Online</v>
      </c>
    </row>
    <row r="7" spans="1:67" x14ac:dyDescent="0.3">
      <c r="A7" s="3" t="s">
        <v>172</v>
      </c>
      <c r="B7" s="3" t="s">
        <v>173</v>
      </c>
      <c r="C7" s="3" t="s">
        <v>69</v>
      </c>
      <c r="D7" s="5" t="s">
        <v>69</v>
      </c>
      <c r="E7" s="3" t="s">
        <v>69</v>
      </c>
      <c r="F7" s="3" t="s">
        <v>69</v>
      </c>
      <c r="G7" s="3" t="s">
        <v>69</v>
      </c>
      <c r="H7" s="3" t="s">
        <v>69</v>
      </c>
      <c r="I7" s="4">
        <v>46.19</v>
      </c>
      <c r="J7" s="7" t="s">
        <v>69</v>
      </c>
      <c r="K7" s="4" t="s">
        <v>69</v>
      </c>
      <c r="L7" s="4">
        <v>-1.62</v>
      </c>
      <c r="M7" s="4" t="s">
        <v>69</v>
      </c>
      <c r="N7" s="4">
        <v>-0.78</v>
      </c>
      <c r="O7" s="4">
        <v>-0.96</v>
      </c>
      <c r="P7" s="4" t="s">
        <v>69</v>
      </c>
      <c r="Q7" s="4">
        <v>1.68</v>
      </c>
      <c r="R7" s="6" t="s">
        <v>174</v>
      </c>
      <c r="S7" s="3" t="s">
        <v>69</v>
      </c>
      <c r="T7" s="3" t="s">
        <v>69</v>
      </c>
      <c r="U7" s="3" t="s">
        <v>69</v>
      </c>
      <c r="V7" s="3" t="s">
        <v>69</v>
      </c>
      <c r="W7" s="3" t="s">
        <v>69</v>
      </c>
      <c r="X7" s="3" t="s">
        <v>175</v>
      </c>
      <c r="Y7" s="3" t="s">
        <v>176</v>
      </c>
      <c r="Z7" s="3" t="s">
        <v>69</v>
      </c>
      <c r="AA7" s="3" t="s">
        <v>177</v>
      </c>
      <c r="AB7" s="3" t="s">
        <v>178</v>
      </c>
      <c r="AC7" s="6" t="s">
        <v>179</v>
      </c>
      <c r="AD7" s="3" t="s">
        <v>128</v>
      </c>
      <c r="AE7" s="6" t="s">
        <v>69</v>
      </c>
      <c r="AF7" s="6" t="s">
        <v>69</v>
      </c>
      <c r="AG7" s="3" t="s">
        <v>69</v>
      </c>
      <c r="AH7" s="3" t="s">
        <v>78</v>
      </c>
      <c r="AI7" s="3" t="s">
        <v>132</v>
      </c>
      <c r="AJ7" s="3" t="s">
        <v>180</v>
      </c>
      <c r="AK7" s="3" t="s">
        <v>69</v>
      </c>
      <c r="AL7" s="3" t="s">
        <v>181</v>
      </c>
      <c r="AM7" s="3" t="s">
        <v>182</v>
      </c>
      <c r="AN7" s="3" t="s">
        <v>183</v>
      </c>
      <c r="AO7" s="3" t="s">
        <v>69</v>
      </c>
      <c r="AP7" s="3" t="s">
        <v>172</v>
      </c>
      <c r="AQ7" s="3" t="s">
        <v>184</v>
      </c>
      <c r="AR7" s="3" t="s">
        <v>185</v>
      </c>
      <c r="AS7" s="3" t="s">
        <v>186</v>
      </c>
      <c r="AT7" s="3" t="s">
        <v>187</v>
      </c>
      <c r="AU7" s="3" t="s">
        <v>188</v>
      </c>
      <c r="AV7" s="3" t="s">
        <v>69</v>
      </c>
      <c r="AW7" s="3" t="s">
        <v>69</v>
      </c>
      <c r="AX7" s="3" t="s">
        <v>69</v>
      </c>
      <c r="AY7" s="3" t="s">
        <v>90</v>
      </c>
      <c r="AZ7" s="8" t="s">
        <v>69</v>
      </c>
      <c r="BA7" s="3" t="s">
        <v>69</v>
      </c>
      <c r="BB7" s="3" t="s">
        <v>92</v>
      </c>
      <c r="BC7" s="3" t="s">
        <v>93</v>
      </c>
      <c r="BD7" s="12" t="str">
        <f>HYPERLINK("http://zeitauktion.de","zeitauktion.de")</f>
        <v>zeitauktion.de</v>
      </c>
      <c r="BE7" s="3" t="s">
        <v>69</v>
      </c>
      <c r="BF7" s="9">
        <v>97</v>
      </c>
      <c r="BG7" s="3" t="s">
        <v>189</v>
      </c>
      <c r="BH7" s="3" t="s">
        <v>69</v>
      </c>
      <c r="BI7" s="3" t="s">
        <v>69</v>
      </c>
      <c r="BJ7" s="10">
        <v>2007</v>
      </c>
      <c r="BK7" s="3" t="s">
        <v>190</v>
      </c>
      <c r="BL7" s="1">
        <v>45767</v>
      </c>
      <c r="BM7" s="3" t="s">
        <v>69</v>
      </c>
      <c r="BN7" s="3" t="s">
        <v>69</v>
      </c>
      <c r="BO7" s="12" t="str">
        <f>HYPERLINK("https://my.pitchbook.com?c=527922-19","View Company Online")</f>
        <v>View Company Online</v>
      </c>
    </row>
    <row r="8" spans="1:67" x14ac:dyDescent="0.3">
      <c r="A8" s="13" t="s">
        <v>191</v>
      </c>
      <c r="B8" s="13" t="s">
        <v>192</v>
      </c>
      <c r="C8" s="13" t="s">
        <v>69</v>
      </c>
      <c r="D8" s="21" t="s">
        <v>69</v>
      </c>
      <c r="E8" s="13" t="s">
        <v>69</v>
      </c>
      <c r="F8" s="13" t="s">
        <v>69</v>
      </c>
      <c r="G8" s="13" t="s">
        <v>69</v>
      </c>
      <c r="H8" s="13" t="s">
        <v>69</v>
      </c>
      <c r="I8" s="19">
        <v>41.6</v>
      </c>
      <c r="J8" s="20">
        <v>-3.9</v>
      </c>
      <c r="K8" s="19" t="s">
        <v>69</v>
      </c>
      <c r="L8" s="19">
        <v>-0.39</v>
      </c>
      <c r="M8" s="19" t="s">
        <v>69</v>
      </c>
      <c r="N8" s="19" t="s">
        <v>69</v>
      </c>
      <c r="O8" s="19">
        <v>-0.39</v>
      </c>
      <c r="P8" s="19" t="s">
        <v>69</v>
      </c>
      <c r="Q8" s="19" t="s">
        <v>69</v>
      </c>
      <c r="R8" s="18" t="s">
        <v>70</v>
      </c>
      <c r="S8" s="13" t="s">
        <v>193</v>
      </c>
      <c r="T8" s="13" t="s">
        <v>194</v>
      </c>
      <c r="U8" s="13" t="s">
        <v>195</v>
      </c>
      <c r="V8" s="13" t="s">
        <v>196</v>
      </c>
      <c r="W8" s="13" t="s">
        <v>197</v>
      </c>
      <c r="X8" s="13" t="s">
        <v>198</v>
      </c>
      <c r="Y8" s="13" t="s">
        <v>199</v>
      </c>
      <c r="Z8" s="13" t="s">
        <v>200</v>
      </c>
      <c r="AA8" s="13" t="s">
        <v>201</v>
      </c>
      <c r="AB8" s="13" t="s">
        <v>202</v>
      </c>
      <c r="AC8" s="18" t="s">
        <v>203</v>
      </c>
      <c r="AD8" s="13" t="s">
        <v>204</v>
      </c>
      <c r="AE8" s="18" t="s">
        <v>197</v>
      </c>
      <c r="AF8" s="18" t="s">
        <v>69</v>
      </c>
      <c r="AG8" s="13" t="s">
        <v>205</v>
      </c>
      <c r="AH8" s="13" t="s">
        <v>78</v>
      </c>
      <c r="AI8" s="13" t="s">
        <v>79</v>
      </c>
      <c r="AJ8" s="13" t="s">
        <v>69</v>
      </c>
      <c r="AK8" s="13" t="s">
        <v>206</v>
      </c>
      <c r="AL8" s="13" t="s">
        <v>207</v>
      </c>
      <c r="AM8" s="13" t="s">
        <v>208</v>
      </c>
      <c r="AN8" s="13" t="s">
        <v>209</v>
      </c>
      <c r="AO8" s="13" t="s">
        <v>69</v>
      </c>
      <c r="AP8" s="13" t="s">
        <v>191</v>
      </c>
      <c r="AQ8" s="13" t="s">
        <v>210</v>
      </c>
      <c r="AR8" s="13" t="s">
        <v>85</v>
      </c>
      <c r="AS8" s="13" t="s">
        <v>211</v>
      </c>
      <c r="AT8" s="13" t="s">
        <v>212</v>
      </c>
      <c r="AU8" s="13" t="s">
        <v>213</v>
      </c>
      <c r="AV8" s="13" t="s">
        <v>214</v>
      </c>
      <c r="AW8" s="13" t="s">
        <v>215</v>
      </c>
      <c r="AX8" s="13" t="s">
        <v>69</v>
      </c>
      <c r="AY8" s="13" t="s">
        <v>90</v>
      </c>
      <c r="AZ8" s="17" t="s">
        <v>69</v>
      </c>
      <c r="BA8" s="13" t="s">
        <v>91</v>
      </c>
      <c r="BB8" s="13" t="s">
        <v>92</v>
      </c>
      <c r="BC8" s="13" t="s">
        <v>93</v>
      </c>
      <c r="BD8" s="11" t="str">
        <f>HYPERLINK("http://www.unode50.com","www.unode50.com")</f>
        <v>www.unode50.com</v>
      </c>
      <c r="BE8" s="11" t="str">
        <f>HYPERLINK("http://www.linkedin.com/company/uno-de-50","http://www.linkedin.com/company/uno-de-50")</f>
        <v>http://www.linkedin.com/company/uno-de-50</v>
      </c>
      <c r="BF8" s="16">
        <v>376</v>
      </c>
      <c r="BG8" s="13" t="s">
        <v>216</v>
      </c>
      <c r="BH8" s="13" t="s">
        <v>69</v>
      </c>
      <c r="BI8" s="13" t="s">
        <v>69</v>
      </c>
      <c r="BJ8" s="15">
        <v>1996</v>
      </c>
      <c r="BK8" s="13" t="s">
        <v>69</v>
      </c>
      <c r="BL8" s="14">
        <v>45688</v>
      </c>
      <c r="BM8" s="13" t="s">
        <v>69</v>
      </c>
      <c r="BN8" s="13" t="s">
        <v>69</v>
      </c>
      <c r="BO8" s="11" t="str">
        <f>HYPERLINK("https://my.pitchbook.com?c=497549-80","View Company Online")</f>
        <v>View Company Online</v>
      </c>
    </row>
    <row r="9" spans="1:67" x14ac:dyDescent="0.3">
      <c r="A9" s="3" t="s">
        <v>217</v>
      </c>
      <c r="B9" s="3" t="s">
        <v>218</v>
      </c>
      <c r="C9" s="3" t="s">
        <v>69</v>
      </c>
      <c r="D9" s="5" t="s">
        <v>69</v>
      </c>
      <c r="E9" s="3" t="s">
        <v>69</v>
      </c>
      <c r="F9" s="3" t="s">
        <v>69</v>
      </c>
      <c r="G9" s="3" t="s">
        <v>69</v>
      </c>
      <c r="H9" s="3" t="s">
        <v>69</v>
      </c>
      <c r="I9" s="4">
        <v>40.520000000000003</v>
      </c>
      <c r="J9" s="7">
        <v>6.5</v>
      </c>
      <c r="K9" s="4">
        <v>15.04</v>
      </c>
      <c r="L9" s="4">
        <v>1.32</v>
      </c>
      <c r="M9" s="4" t="s">
        <v>69</v>
      </c>
      <c r="N9" s="4">
        <v>2.4300000000000002</v>
      </c>
      <c r="O9" s="4">
        <v>1.57</v>
      </c>
      <c r="P9" s="4" t="s">
        <v>69</v>
      </c>
      <c r="Q9" s="4">
        <v>0</v>
      </c>
      <c r="R9" s="6" t="s">
        <v>156</v>
      </c>
      <c r="S9" s="3" t="s">
        <v>69</v>
      </c>
      <c r="T9" s="3" t="s">
        <v>69</v>
      </c>
      <c r="U9" s="3" t="s">
        <v>69</v>
      </c>
      <c r="V9" s="3" t="s">
        <v>69</v>
      </c>
      <c r="W9" s="3" t="s">
        <v>69</v>
      </c>
      <c r="X9" s="3" t="s">
        <v>219</v>
      </c>
      <c r="Y9" s="3" t="s">
        <v>220</v>
      </c>
      <c r="Z9" s="3" t="s">
        <v>69</v>
      </c>
      <c r="AA9" s="3" t="s">
        <v>221</v>
      </c>
      <c r="AB9" s="3" t="s">
        <v>222</v>
      </c>
      <c r="AC9" s="6" t="s">
        <v>69</v>
      </c>
      <c r="AD9" s="3" t="s">
        <v>162</v>
      </c>
      <c r="AE9" s="6" t="s">
        <v>69</v>
      </c>
      <c r="AF9" s="6" t="s">
        <v>69</v>
      </c>
      <c r="AG9" s="3" t="s">
        <v>69</v>
      </c>
      <c r="AH9" s="3" t="s">
        <v>78</v>
      </c>
      <c r="AI9" s="3" t="s">
        <v>132</v>
      </c>
      <c r="AJ9" s="3" t="s">
        <v>69</v>
      </c>
      <c r="AK9" s="3" t="s">
        <v>69</v>
      </c>
      <c r="AL9" s="3" t="s">
        <v>69</v>
      </c>
      <c r="AM9" s="3" t="s">
        <v>223</v>
      </c>
      <c r="AN9" s="3" t="s">
        <v>165</v>
      </c>
      <c r="AO9" s="3" t="s">
        <v>69</v>
      </c>
      <c r="AP9" s="3" t="s">
        <v>217</v>
      </c>
      <c r="AQ9" s="3" t="s">
        <v>224</v>
      </c>
      <c r="AR9" s="3" t="s">
        <v>185</v>
      </c>
      <c r="AS9" s="3" t="s">
        <v>186</v>
      </c>
      <c r="AT9" s="3" t="s">
        <v>225</v>
      </c>
      <c r="AU9" s="3" t="s">
        <v>226</v>
      </c>
      <c r="AV9" s="3" t="s">
        <v>69</v>
      </c>
      <c r="AW9" s="3" t="s">
        <v>69</v>
      </c>
      <c r="AX9" s="3" t="s">
        <v>69</v>
      </c>
      <c r="AY9" s="3" t="s">
        <v>90</v>
      </c>
      <c r="AZ9" s="8" t="s">
        <v>69</v>
      </c>
      <c r="BA9" s="3" t="s">
        <v>69</v>
      </c>
      <c r="BB9" s="3" t="s">
        <v>92</v>
      </c>
      <c r="BC9" s="3" t="s">
        <v>93</v>
      </c>
      <c r="BD9" s="12" t="str">
        <f>HYPERLINK("http://citizenwatch.co.uk","citizenwatch.co.uk")</f>
        <v>citizenwatch.co.uk</v>
      </c>
      <c r="BE9" s="12" t="str">
        <f>HYPERLINK("http://www.linkedin.com/company/citizen-watch-united-kingdom","http://www.linkedin.com/company/citizen-watch-united-kingdom")</f>
        <v>http://www.linkedin.com/company/citizen-watch-united-kingdom</v>
      </c>
      <c r="BF9" s="9">
        <v>65</v>
      </c>
      <c r="BG9" s="3" t="s">
        <v>227</v>
      </c>
      <c r="BH9" s="3" t="s">
        <v>69</v>
      </c>
      <c r="BI9" s="3" t="s">
        <v>69</v>
      </c>
      <c r="BJ9" s="10">
        <v>1918</v>
      </c>
      <c r="BK9" s="3" t="s">
        <v>69</v>
      </c>
      <c r="BL9" s="1">
        <v>45311</v>
      </c>
      <c r="BM9" s="3" t="s">
        <v>69</v>
      </c>
      <c r="BN9" s="3" t="s">
        <v>69</v>
      </c>
      <c r="BO9" s="12" t="str">
        <f>HYPERLINK("https://my.pitchbook.com?c=546670-09","View Company Online")</f>
        <v>View Company Online</v>
      </c>
    </row>
    <row r="10" spans="1:67" x14ac:dyDescent="0.3">
      <c r="A10" s="13" t="s">
        <v>228</v>
      </c>
      <c r="B10" s="13" t="s">
        <v>229</v>
      </c>
      <c r="C10" s="13" t="s">
        <v>69</v>
      </c>
      <c r="D10" s="21" t="s">
        <v>69</v>
      </c>
      <c r="E10" s="13" t="s">
        <v>69</v>
      </c>
      <c r="F10" s="13" t="s">
        <v>69</v>
      </c>
      <c r="G10" s="13" t="s">
        <v>69</v>
      </c>
      <c r="H10" s="13" t="s">
        <v>69</v>
      </c>
      <c r="I10" s="19">
        <v>40.25</v>
      </c>
      <c r="J10" s="20">
        <v>-8</v>
      </c>
      <c r="K10" s="19">
        <v>7.59</v>
      </c>
      <c r="L10" s="19">
        <v>1.43</v>
      </c>
      <c r="M10" s="19" t="s">
        <v>69</v>
      </c>
      <c r="N10" s="19" t="s">
        <v>69</v>
      </c>
      <c r="O10" s="19">
        <v>2.74</v>
      </c>
      <c r="P10" s="19" t="s">
        <v>69</v>
      </c>
      <c r="Q10" s="19">
        <v>0</v>
      </c>
      <c r="R10" s="18" t="s">
        <v>70</v>
      </c>
      <c r="S10" s="13" t="s">
        <v>69</v>
      </c>
      <c r="T10" s="13" t="s">
        <v>69</v>
      </c>
      <c r="U10" s="13" t="s">
        <v>69</v>
      </c>
      <c r="V10" s="13" t="s">
        <v>69</v>
      </c>
      <c r="W10" s="13" t="s">
        <v>69</v>
      </c>
      <c r="X10" s="13" t="s">
        <v>230</v>
      </c>
      <c r="Y10" s="13" t="s">
        <v>69</v>
      </c>
      <c r="Z10" s="13" t="s">
        <v>69</v>
      </c>
      <c r="AA10" s="13" t="s">
        <v>231</v>
      </c>
      <c r="AB10" s="13" t="s">
        <v>69</v>
      </c>
      <c r="AC10" s="18" t="s">
        <v>69</v>
      </c>
      <c r="AD10" s="13" t="s">
        <v>232</v>
      </c>
      <c r="AE10" s="18" t="s">
        <v>69</v>
      </c>
      <c r="AF10" s="18" t="s">
        <v>69</v>
      </c>
      <c r="AG10" s="13" t="s">
        <v>69</v>
      </c>
      <c r="AH10" s="13" t="s">
        <v>78</v>
      </c>
      <c r="AI10" s="13" t="s">
        <v>132</v>
      </c>
      <c r="AJ10" s="13" t="s">
        <v>69</v>
      </c>
      <c r="AK10" s="13" t="s">
        <v>69</v>
      </c>
      <c r="AL10" s="13" t="s">
        <v>233</v>
      </c>
      <c r="AM10" s="13" t="s">
        <v>234</v>
      </c>
      <c r="AN10" s="13" t="s">
        <v>235</v>
      </c>
      <c r="AO10" s="13" t="s">
        <v>69</v>
      </c>
      <c r="AP10" s="13" t="s">
        <v>228</v>
      </c>
      <c r="AQ10" s="13" t="s">
        <v>236</v>
      </c>
      <c r="AR10" s="13" t="s">
        <v>185</v>
      </c>
      <c r="AS10" s="13" t="s">
        <v>186</v>
      </c>
      <c r="AT10" s="13" t="s">
        <v>237</v>
      </c>
      <c r="AU10" s="13" t="s">
        <v>238</v>
      </c>
      <c r="AV10" s="13" t="s">
        <v>69</v>
      </c>
      <c r="AW10" s="13" t="s">
        <v>69</v>
      </c>
      <c r="AX10" s="13" t="s">
        <v>69</v>
      </c>
      <c r="AY10" s="13" t="s">
        <v>90</v>
      </c>
      <c r="AZ10" s="17" t="s">
        <v>69</v>
      </c>
      <c r="BA10" s="13" t="s">
        <v>69</v>
      </c>
      <c r="BB10" s="13" t="s">
        <v>92</v>
      </c>
      <c r="BC10" s="13" t="s">
        <v>93</v>
      </c>
      <c r="BD10" s="11" t="str">
        <f>HYPERLINK("http://www.shinetsu.info","www.shinetsu.info")</f>
        <v>www.shinetsu.info</v>
      </c>
      <c r="BE10" s="13" t="s">
        <v>69</v>
      </c>
      <c r="BF10" s="16">
        <v>83</v>
      </c>
      <c r="BG10" s="13" t="s">
        <v>239</v>
      </c>
      <c r="BH10" s="13" t="s">
        <v>69</v>
      </c>
      <c r="BI10" s="13" t="s">
        <v>69</v>
      </c>
      <c r="BJ10" s="15">
        <v>1986</v>
      </c>
      <c r="BK10" s="13" t="s">
        <v>69</v>
      </c>
      <c r="BL10" s="14">
        <v>45601</v>
      </c>
      <c r="BM10" s="13" t="s">
        <v>69</v>
      </c>
      <c r="BN10" s="13" t="s">
        <v>69</v>
      </c>
      <c r="BO10" s="11" t="str">
        <f>HYPERLINK("https://my.pitchbook.com?c=569977-57","View Company Online")</f>
        <v>View Company Online</v>
      </c>
    </row>
    <row r="11" spans="1:67" x14ac:dyDescent="0.3">
      <c r="A11" s="3" t="s">
        <v>240</v>
      </c>
      <c r="B11" s="3" t="s">
        <v>241</v>
      </c>
      <c r="C11" s="3" t="s">
        <v>69</v>
      </c>
      <c r="D11" s="5" t="s">
        <v>69</v>
      </c>
      <c r="E11" s="3" t="s">
        <v>69</v>
      </c>
      <c r="F11" s="3" t="s">
        <v>69</v>
      </c>
      <c r="G11" s="3" t="s">
        <v>69</v>
      </c>
      <c r="H11" s="3" t="s">
        <v>69</v>
      </c>
      <c r="I11" s="4">
        <v>37.770000000000003</v>
      </c>
      <c r="J11" s="7">
        <v>3.11</v>
      </c>
      <c r="K11" s="4">
        <v>10.199999999999999</v>
      </c>
      <c r="L11" s="4">
        <v>0.93</v>
      </c>
      <c r="M11" s="4" t="s">
        <v>69</v>
      </c>
      <c r="N11" s="4">
        <v>1.39</v>
      </c>
      <c r="O11" s="4">
        <v>1.17</v>
      </c>
      <c r="P11" s="4" t="s">
        <v>69</v>
      </c>
      <c r="Q11" s="4">
        <v>1.51</v>
      </c>
      <c r="R11" s="6" t="s">
        <v>70</v>
      </c>
      <c r="S11" s="3" t="s">
        <v>69</v>
      </c>
      <c r="T11" s="3" t="s">
        <v>69</v>
      </c>
      <c r="U11" s="3" t="s">
        <v>69</v>
      </c>
      <c r="V11" s="3" t="s">
        <v>69</v>
      </c>
      <c r="W11" s="3" t="s">
        <v>69</v>
      </c>
      <c r="X11" s="3" t="s">
        <v>242</v>
      </c>
      <c r="Y11" s="3" t="s">
        <v>243</v>
      </c>
      <c r="Z11" s="3" t="s">
        <v>69</v>
      </c>
      <c r="AA11" s="3" t="s">
        <v>244</v>
      </c>
      <c r="AB11" s="3" t="s">
        <v>222</v>
      </c>
      <c r="AC11" s="6" t="s">
        <v>245</v>
      </c>
      <c r="AD11" s="3" t="s">
        <v>162</v>
      </c>
      <c r="AE11" s="6" t="s">
        <v>69</v>
      </c>
      <c r="AF11" s="6" t="s">
        <v>69</v>
      </c>
      <c r="AG11" s="3" t="s">
        <v>69</v>
      </c>
      <c r="AH11" s="3" t="s">
        <v>78</v>
      </c>
      <c r="AI11" s="3" t="s">
        <v>132</v>
      </c>
      <c r="AJ11" s="3" t="s">
        <v>246</v>
      </c>
      <c r="AK11" s="3" t="s">
        <v>69</v>
      </c>
      <c r="AL11" s="3" t="s">
        <v>247</v>
      </c>
      <c r="AM11" s="3" t="s">
        <v>248</v>
      </c>
      <c r="AN11" s="3" t="s">
        <v>165</v>
      </c>
      <c r="AO11" s="3" t="s">
        <v>69</v>
      </c>
      <c r="AP11" s="3" t="s">
        <v>240</v>
      </c>
      <c r="AQ11" s="3" t="s">
        <v>249</v>
      </c>
      <c r="AR11" s="3" t="s">
        <v>185</v>
      </c>
      <c r="AS11" s="3" t="s">
        <v>186</v>
      </c>
      <c r="AT11" s="3" t="s">
        <v>187</v>
      </c>
      <c r="AU11" s="3" t="s">
        <v>188</v>
      </c>
      <c r="AV11" s="3" t="s">
        <v>250</v>
      </c>
      <c r="AW11" s="3" t="s">
        <v>251</v>
      </c>
      <c r="AX11" s="3" t="s">
        <v>69</v>
      </c>
      <c r="AY11" s="3" t="s">
        <v>90</v>
      </c>
      <c r="AZ11" s="8" t="s">
        <v>69</v>
      </c>
      <c r="BA11" s="3" t="s">
        <v>69</v>
      </c>
      <c r="BB11" s="3" t="s">
        <v>92</v>
      </c>
      <c r="BC11" s="3" t="s">
        <v>93</v>
      </c>
      <c r="BD11" s="12" t="str">
        <f>HYPERLINK("http://peershardy.com","peershardy.com")</f>
        <v>peershardy.com</v>
      </c>
      <c r="BE11" s="3" t="s">
        <v>69</v>
      </c>
      <c r="BF11" s="9">
        <v>71</v>
      </c>
      <c r="BG11" s="3" t="s">
        <v>252</v>
      </c>
      <c r="BH11" s="3" t="s">
        <v>69</v>
      </c>
      <c r="BI11" s="3" t="s">
        <v>69</v>
      </c>
      <c r="BJ11" s="10">
        <v>1978</v>
      </c>
      <c r="BK11" s="3" t="s">
        <v>69</v>
      </c>
      <c r="BL11" s="1">
        <v>45633</v>
      </c>
      <c r="BM11" s="3" t="s">
        <v>69</v>
      </c>
      <c r="BN11" s="3" t="s">
        <v>69</v>
      </c>
      <c r="BO11" s="12" t="str">
        <f>HYPERLINK("https://my.pitchbook.com?c=224957-17","View Company Online")</f>
        <v>View Company Online</v>
      </c>
    </row>
    <row r="12" spans="1:67" x14ac:dyDescent="0.3">
      <c r="A12" s="13" t="s">
        <v>253</v>
      </c>
      <c r="B12" s="13" t="s">
        <v>254</v>
      </c>
      <c r="C12" s="13" t="s">
        <v>69</v>
      </c>
      <c r="D12" s="21" t="s">
        <v>69</v>
      </c>
      <c r="E12" s="13" t="s">
        <v>69</v>
      </c>
      <c r="F12" s="13" t="s">
        <v>69</v>
      </c>
      <c r="G12" s="13" t="s">
        <v>69</v>
      </c>
      <c r="H12" s="13" t="s">
        <v>69</v>
      </c>
      <c r="I12" s="19">
        <v>36.93</v>
      </c>
      <c r="J12" s="20">
        <v>-12.53</v>
      </c>
      <c r="K12" s="19" t="s">
        <v>69</v>
      </c>
      <c r="L12" s="19">
        <v>-0.93</v>
      </c>
      <c r="M12" s="19" t="s">
        <v>69</v>
      </c>
      <c r="N12" s="19">
        <v>-20.21</v>
      </c>
      <c r="O12" s="19">
        <v>-22.31</v>
      </c>
      <c r="P12" s="19" t="s">
        <v>69</v>
      </c>
      <c r="Q12" s="19">
        <v>0</v>
      </c>
      <c r="R12" s="18" t="s">
        <v>70</v>
      </c>
      <c r="S12" s="13" t="s">
        <v>255</v>
      </c>
      <c r="T12" s="13" t="s">
        <v>256</v>
      </c>
      <c r="U12" s="13" t="s">
        <v>257</v>
      </c>
      <c r="V12" s="13" t="s">
        <v>258</v>
      </c>
      <c r="W12" s="13" t="s">
        <v>259</v>
      </c>
      <c r="X12" s="13" t="s">
        <v>260</v>
      </c>
      <c r="Y12" s="13" t="s">
        <v>261</v>
      </c>
      <c r="Z12" s="13" t="s">
        <v>69</v>
      </c>
      <c r="AA12" s="13" t="s">
        <v>262</v>
      </c>
      <c r="AB12" s="13" t="s">
        <v>69</v>
      </c>
      <c r="AC12" s="18" t="s">
        <v>263</v>
      </c>
      <c r="AD12" s="13" t="s">
        <v>264</v>
      </c>
      <c r="AE12" s="18" t="s">
        <v>265</v>
      </c>
      <c r="AF12" s="18" t="s">
        <v>69</v>
      </c>
      <c r="AG12" s="13" t="s">
        <v>69</v>
      </c>
      <c r="AH12" s="13" t="s">
        <v>78</v>
      </c>
      <c r="AI12" s="13" t="s">
        <v>107</v>
      </c>
      <c r="AJ12" s="13" t="s">
        <v>69</v>
      </c>
      <c r="AK12" s="13" t="s">
        <v>266</v>
      </c>
      <c r="AL12" s="13" t="s">
        <v>267</v>
      </c>
      <c r="AM12" s="13" t="s">
        <v>268</v>
      </c>
      <c r="AN12" s="13" t="s">
        <v>269</v>
      </c>
      <c r="AO12" s="13" t="s">
        <v>69</v>
      </c>
      <c r="AP12" s="13" t="s">
        <v>253</v>
      </c>
      <c r="AQ12" s="13" t="s">
        <v>270</v>
      </c>
      <c r="AR12" s="13" t="s">
        <v>85</v>
      </c>
      <c r="AS12" s="13" t="s">
        <v>271</v>
      </c>
      <c r="AT12" s="13" t="s">
        <v>272</v>
      </c>
      <c r="AU12" s="13" t="s">
        <v>273</v>
      </c>
      <c r="AV12" s="13" t="s">
        <v>214</v>
      </c>
      <c r="AW12" s="13" t="s">
        <v>274</v>
      </c>
      <c r="AX12" s="13" t="s">
        <v>69</v>
      </c>
      <c r="AY12" s="13" t="s">
        <v>90</v>
      </c>
      <c r="AZ12" s="17" t="s">
        <v>69</v>
      </c>
      <c r="BA12" s="13" t="s">
        <v>91</v>
      </c>
      <c r="BB12" s="13" t="s">
        <v>92</v>
      </c>
      <c r="BC12" s="13" t="s">
        <v>93</v>
      </c>
      <c r="BD12" s="11" t="str">
        <f>HYPERLINK("http://www.polar.com","www.polar.com")</f>
        <v>www.polar.com</v>
      </c>
      <c r="BE12" s="11" t="str">
        <f>HYPERLINK("http://www.linkedin.com/company/polar-electro-oy","http://www.linkedin.com/company/polar-electro-oy")</f>
        <v>http://www.linkedin.com/company/polar-electro-oy</v>
      </c>
      <c r="BF12" s="16">
        <v>1200</v>
      </c>
      <c r="BG12" s="13" t="s">
        <v>275</v>
      </c>
      <c r="BH12" s="13" t="s">
        <v>69</v>
      </c>
      <c r="BI12" s="13" t="s">
        <v>69</v>
      </c>
      <c r="BJ12" s="15">
        <v>1977</v>
      </c>
      <c r="BK12" s="13" t="s">
        <v>69</v>
      </c>
      <c r="BL12" s="14">
        <v>45755</v>
      </c>
      <c r="BM12" s="13" t="s">
        <v>69</v>
      </c>
      <c r="BN12" s="13" t="s">
        <v>69</v>
      </c>
      <c r="BO12" s="11" t="str">
        <f>HYPERLINK("https://my.pitchbook.com?c=60716-89","View Company Online")</f>
        <v>View Company Online</v>
      </c>
    </row>
    <row r="13" spans="1:67" x14ac:dyDescent="0.3">
      <c r="A13" s="3" t="s">
        <v>276</v>
      </c>
      <c r="B13" s="3" t="s">
        <v>277</v>
      </c>
      <c r="C13" s="3" t="s">
        <v>69</v>
      </c>
      <c r="D13" s="5" t="s">
        <v>69</v>
      </c>
      <c r="E13" s="3" t="s">
        <v>69</v>
      </c>
      <c r="F13" s="3" t="s">
        <v>69</v>
      </c>
      <c r="G13" s="3" t="s">
        <v>69</v>
      </c>
      <c r="H13" s="3" t="s">
        <v>69</v>
      </c>
      <c r="I13" s="4">
        <v>36.119999999999997</v>
      </c>
      <c r="J13" s="7">
        <v>8.48</v>
      </c>
      <c r="K13" s="4">
        <v>13.51</v>
      </c>
      <c r="L13" s="4">
        <v>3.2</v>
      </c>
      <c r="M13" s="4" t="s">
        <v>69</v>
      </c>
      <c r="N13" s="4">
        <v>5.0999999999999996</v>
      </c>
      <c r="O13" s="4">
        <v>4.43</v>
      </c>
      <c r="P13" s="4" t="s">
        <v>69</v>
      </c>
      <c r="Q13" s="4">
        <v>1.53</v>
      </c>
      <c r="R13" s="6" t="s">
        <v>156</v>
      </c>
      <c r="S13" s="3" t="s">
        <v>69</v>
      </c>
      <c r="T13" s="3" t="s">
        <v>69</v>
      </c>
      <c r="U13" s="3" t="s">
        <v>69</v>
      </c>
      <c r="V13" s="3" t="s">
        <v>69</v>
      </c>
      <c r="W13" s="3" t="s">
        <v>69</v>
      </c>
      <c r="X13" s="3" t="s">
        <v>278</v>
      </c>
      <c r="Y13" s="3" t="s">
        <v>279</v>
      </c>
      <c r="Z13" s="3" t="s">
        <v>69</v>
      </c>
      <c r="AA13" s="3" t="s">
        <v>280</v>
      </c>
      <c r="AB13" s="3" t="s">
        <v>222</v>
      </c>
      <c r="AC13" s="6" t="s">
        <v>281</v>
      </c>
      <c r="AD13" s="3" t="s">
        <v>162</v>
      </c>
      <c r="AE13" s="6" t="s">
        <v>69</v>
      </c>
      <c r="AF13" s="6" t="s">
        <v>69</v>
      </c>
      <c r="AG13" s="3" t="s">
        <v>69</v>
      </c>
      <c r="AH13" s="3" t="s">
        <v>78</v>
      </c>
      <c r="AI13" s="3" t="s">
        <v>132</v>
      </c>
      <c r="AJ13" s="3" t="s">
        <v>69</v>
      </c>
      <c r="AK13" s="3" t="s">
        <v>69</v>
      </c>
      <c r="AL13" s="3" t="s">
        <v>282</v>
      </c>
      <c r="AM13" s="3" t="s">
        <v>283</v>
      </c>
      <c r="AN13" s="3" t="s">
        <v>165</v>
      </c>
      <c r="AO13" s="3" t="s">
        <v>69</v>
      </c>
      <c r="AP13" s="3" t="s">
        <v>276</v>
      </c>
      <c r="AQ13" s="3" t="s">
        <v>284</v>
      </c>
      <c r="AR13" s="3" t="s">
        <v>85</v>
      </c>
      <c r="AS13" s="3" t="s">
        <v>86</v>
      </c>
      <c r="AT13" s="3" t="s">
        <v>87</v>
      </c>
      <c r="AU13" s="3" t="s">
        <v>112</v>
      </c>
      <c r="AV13" s="3" t="s">
        <v>69</v>
      </c>
      <c r="AW13" s="3" t="s">
        <v>285</v>
      </c>
      <c r="AX13" s="3" t="s">
        <v>69</v>
      </c>
      <c r="AY13" s="3" t="s">
        <v>90</v>
      </c>
      <c r="AZ13" s="8" t="s">
        <v>69</v>
      </c>
      <c r="BA13" s="3" t="s">
        <v>69</v>
      </c>
      <c r="BB13" s="3" t="s">
        <v>92</v>
      </c>
      <c r="BC13" s="3" t="s">
        <v>93</v>
      </c>
      <c r="BD13" s="12" t="str">
        <f>HYPERLINK("http://michaelspiers.co.uk","michaelspiers.co.uk")</f>
        <v>michaelspiers.co.uk</v>
      </c>
      <c r="BE13" s="3" t="s">
        <v>69</v>
      </c>
      <c r="BF13" s="9">
        <v>67</v>
      </c>
      <c r="BG13" s="3" t="s">
        <v>286</v>
      </c>
      <c r="BH13" s="3" t="s">
        <v>69</v>
      </c>
      <c r="BI13" s="3" t="s">
        <v>69</v>
      </c>
      <c r="BJ13" s="10">
        <v>1961</v>
      </c>
      <c r="BK13" s="3" t="s">
        <v>69</v>
      </c>
      <c r="BL13" s="1">
        <v>45490</v>
      </c>
      <c r="BM13" s="3" t="s">
        <v>69</v>
      </c>
      <c r="BN13" s="3" t="s">
        <v>69</v>
      </c>
      <c r="BO13" s="12" t="str">
        <f>HYPERLINK("https://my.pitchbook.com?c=225581-50","View Company Online")</f>
        <v>View Company Online</v>
      </c>
    </row>
    <row r="14" spans="1:67" x14ac:dyDescent="0.3">
      <c r="A14" s="13" t="s">
        <v>287</v>
      </c>
      <c r="B14" s="13" t="s">
        <v>288</v>
      </c>
      <c r="C14" s="13" t="s">
        <v>69</v>
      </c>
      <c r="D14" s="21" t="s">
        <v>69</v>
      </c>
      <c r="E14" s="13" t="s">
        <v>69</v>
      </c>
      <c r="F14" s="13" t="s">
        <v>69</v>
      </c>
      <c r="G14" s="13" t="s">
        <v>69</v>
      </c>
      <c r="H14" s="13" t="s">
        <v>69</v>
      </c>
      <c r="I14" s="19">
        <v>35.44</v>
      </c>
      <c r="J14" s="20">
        <v>14.11</v>
      </c>
      <c r="K14" s="19" t="s">
        <v>69</v>
      </c>
      <c r="L14" s="19">
        <v>2.02</v>
      </c>
      <c r="M14" s="19" t="s">
        <v>69</v>
      </c>
      <c r="N14" s="19">
        <v>4.24</v>
      </c>
      <c r="O14" s="19">
        <v>3.32</v>
      </c>
      <c r="P14" s="19" t="s">
        <v>69</v>
      </c>
      <c r="Q14" s="19">
        <v>2.5</v>
      </c>
      <c r="R14" s="18" t="s">
        <v>289</v>
      </c>
      <c r="S14" s="13" t="s">
        <v>69</v>
      </c>
      <c r="T14" s="13" t="s">
        <v>69</v>
      </c>
      <c r="U14" s="13" t="s">
        <v>69</v>
      </c>
      <c r="V14" s="13" t="s">
        <v>69</v>
      </c>
      <c r="W14" s="13" t="s">
        <v>69</v>
      </c>
      <c r="X14" s="13" t="s">
        <v>290</v>
      </c>
      <c r="Y14" s="13" t="s">
        <v>291</v>
      </c>
      <c r="Z14" s="13" t="s">
        <v>69</v>
      </c>
      <c r="AA14" s="13" t="s">
        <v>292</v>
      </c>
      <c r="AB14" s="13" t="s">
        <v>293</v>
      </c>
      <c r="AC14" s="18" t="s">
        <v>294</v>
      </c>
      <c r="AD14" s="13" t="s">
        <v>295</v>
      </c>
      <c r="AE14" s="18" t="s">
        <v>69</v>
      </c>
      <c r="AF14" s="18" t="s">
        <v>69</v>
      </c>
      <c r="AG14" s="13" t="s">
        <v>69</v>
      </c>
      <c r="AH14" s="13" t="s">
        <v>78</v>
      </c>
      <c r="AI14" s="13" t="s">
        <v>132</v>
      </c>
      <c r="AJ14" s="13" t="s">
        <v>69</v>
      </c>
      <c r="AK14" s="13" t="s">
        <v>69</v>
      </c>
      <c r="AL14" s="13" t="s">
        <v>69</v>
      </c>
      <c r="AM14" s="13" t="s">
        <v>296</v>
      </c>
      <c r="AN14" s="13" t="s">
        <v>297</v>
      </c>
      <c r="AO14" s="13" t="s">
        <v>69</v>
      </c>
      <c r="AP14" s="13" t="s">
        <v>287</v>
      </c>
      <c r="AQ14" s="13" t="s">
        <v>298</v>
      </c>
      <c r="AR14" s="13" t="s">
        <v>85</v>
      </c>
      <c r="AS14" s="13" t="s">
        <v>211</v>
      </c>
      <c r="AT14" s="13" t="s">
        <v>299</v>
      </c>
      <c r="AU14" s="13" t="s">
        <v>300</v>
      </c>
      <c r="AV14" s="13" t="s">
        <v>69</v>
      </c>
      <c r="AW14" s="13" t="s">
        <v>301</v>
      </c>
      <c r="AX14" s="13" t="s">
        <v>69</v>
      </c>
      <c r="AY14" s="13" t="s">
        <v>90</v>
      </c>
      <c r="AZ14" s="17" t="s">
        <v>69</v>
      </c>
      <c r="BA14" s="13" t="s">
        <v>69</v>
      </c>
      <c r="BB14" s="13" t="s">
        <v>92</v>
      </c>
      <c r="BC14" s="13" t="s">
        <v>93</v>
      </c>
      <c r="BD14" s="11" t="str">
        <f>HYPERLINK("http://cheval-freres.fr","cheval-freres.fr")</f>
        <v>cheval-freres.fr</v>
      </c>
      <c r="BE14" s="11" t="str">
        <f>HYPERLINK("http://www.linkedin.com/company/cheval-freres","http://www.linkedin.com/company/cheval-freres")</f>
        <v>http://www.linkedin.com/company/cheval-freres</v>
      </c>
      <c r="BF14" s="16">
        <v>173</v>
      </c>
      <c r="BG14" s="13" t="s">
        <v>302</v>
      </c>
      <c r="BH14" s="13" t="s">
        <v>69</v>
      </c>
      <c r="BI14" s="13" t="s">
        <v>69</v>
      </c>
      <c r="BJ14" s="15">
        <v>1848</v>
      </c>
      <c r="BK14" s="13" t="s">
        <v>303</v>
      </c>
      <c r="BL14" s="14">
        <v>45736</v>
      </c>
      <c r="BM14" s="13" t="s">
        <v>69</v>
      </c>
      <c r="BN14" s="13" t="s">
        <v>69</v>
      </c>
      <c r="BO14" s="11" t="str">
        <f>HYPERLINK("https://my.pitchbook.com?c=556599-97","View Company Online")</f>
        <v>View Company Online</v>
      </c>
    </row>
    <row r="15" spans="1:67" x14ac:dyDescent="0.3">
      <c r="A15" s="3" t="s">
        <v>304</v>
      </c>
      <c r="B15" s="3" t="s">
        <v>305</v>
      </c>
      <c r="C15" s="3" t="s">
        <v>69</v>
      </c>
      <c r="D15" s="5" t="s">
        <v>69</v>
      </c>
      <c r="E15" s="3" t="s">
        <v>69</v>
      </c>
      <c r="F15" s="3" t="s">
        <v>69</v>
      </c>
      <c r="G15" s="3" t="s">
        <v>69</v>
      </c>
      <c r="H15" s="3" t="s">
        <v>69</v>
      </c>
      <c r="I15" s="4">
        <v>33.119999999999997</v>
      </c>
      <c r="J15" s="7" t="s">
        <v>69</v>
      </c>
      <c r="K15" s="4" t="s">
        <v>69</v>
      </c>
      <c r="L15" s="4" t="s">
        <v>69</v>
      </c>
      <c r="M15" s="4" t="s">
        <v>69</v>
      </c>
      <c r="N15" s="4" t="s">
        <v>69</v>
      </c>
      <c r="O15" s="4" t="s">
        <v>69</v>
      </c>
      <c r="P15" s="4" t="s">
        <v>69</v>
      </c>
      <c r="Q15" s="4" t="s">
        <v>69</v>
      </c>
      <c r="R15" s="6" t="s">
        <v>306</v>
      </c>
      <c r="S15" s="3" t="s">
        <v>69</v>
      </c>
      <c r="T15" s="3" t="s">
        <v>69</v>
      </c>
      <c r="U15" s="3" t="s">
        <v>69</v>
      </c>
      <c r="V15" s="3" t="s">
        <v>69</v>
      </c>
      <c r="W15" s="3" t="s">
        <v>69</v>
      </c>
      <c r="X15" s="3" t="s">
        <v>307</v>
      </c>
      <c r="Y15" s="3" t="s">
        <v>308</v>
      </c>
      <c r="Z15" s="3" t="s">
        <v>69</v>
      </c>
      <c r="AA15" s="3" t="s">
        <v>309</v>
      </c>
      <c r="AB15" s="3" t="s">
        <v>222</v>
      </c>
      <c r="AC15" s="6" t="s">
        <v>310</v>
      </c>
      <c r="AD15" s="3" t="s">
        <v>162</v>
      </c>
      <c r="AE15" s="6" t="s">
        <v>69</v>
      </c>
      <c r="AF15" s="6" t="s">
        <v>69</v>
      </c>
      <c r="AG15" s="3" t="s">
        <v>69</v>
      </c>
      <c r="AH15" s="3" t="s">
        <v>78</v>
      </c>
      <c r="AI15" s="3" t="s">
        <v>132</v>
      </c>
      <c r="AJ15" s="3" t="s">
        <v>69</v>
      </c>
      <c r="AK15" s="3" t="s">
        <v>69</v>
      </c>
      <c r="AL15" s="3" t="s">
        <v>311</v>
      </c>
      <c r="AM15" s="3" t="s">
        <v>312</v>
      </c>
      <c r="AN15" s="3" t="s">
        <v>165</v>
      </c>
      <c r="AO15" s="3" t="s">
        <v>69</v>
      </c>
      <c r="AP15" s="3" t="s">
        <v>304</v>
      </c>
      <c r="AQ15" s="3" t="s">
        <v>313</v>
      </c>
      <c r="AR15" s="3" t="s">
        <v>185</v>
      </c>
      <c r="AS15" s="3" t="s">
        <v>186</v>
      </c>
      <c r="AT15" s="3" t="s">
        <v>187</v>
      </c>
      <c r="AU15" s="3" t="s">
        <v>188</v>
      </c>
      <c r="AV15" s="3" t="s">
        <v>250</v>
      </c>
      <c r="AW15" s="3" t="s">
        <v>314</v>
      </c>
      <c r="AX15" s="3" t="s">
        <v>69</v>
      </c>
      <c r="AY15" s="3" t="s">
        <v>90</v>
      </c>
      <c r="AZ15" s="8" t="s">
        <v>69</v>
      </c>
      <c r="BA15" s="3" t="s">
        <v>69</v>
      </c>
      <c r="BB15" s="3" t="s">
        <v>92</v>
      </c>
      <c r="BC15" s="3" t="s">
        <v>93</v>
      </c>
      <c r="BD15" s="12" t="str">
        <f>HYPERLINK("http://thebierkeller.com","thebierkeller.com")</f>
        <v>thebierkeller.com</v>
      </c>
      <c r="BE15" s="3" t="s">
        <v>69</v>
      </c>
      <c r="BF15" s="9">
        <v>500</v>
      </c>
      <c r="BG15" s="3" t="s">
        <v>315</v>
      </c>
      <c r="BH15" s="3" t="s">
        <v>69</v>
      </c>
      <c r="BI15" s="3" t="s">
        <v>69</v>
      </c>
      <c r="BJ15" s="10">
        <v>2010</v>
      </c>
      <c r="BK15" s="3" t="s">
        <v>69</v>
      </c>
      <c r="BL15" s="1">
        <v>45701</v>
      </c>
      <c r="BM15" s="3" t="s">
        <v>69</v>
      </c>
      <c r="BN15" s="3" t="s">
        <v>69</v>
      </c>
      <c r="BO15" s="12" t="str">
        <f>HYPERLINK("https://my.pitchbook.com?c=219664-18","View Company Online")</f>
        <v>View Company Online</v>
      </c>
    </row>
    <row r="16" spans="1:67" x14ac:dyDescent="0.3">
      <c r="A16" s="13" t="s">
        <v>316</v>
      </c>
      <c r="B16" s="13" t="s">
        <v>317</v>
      </c>
      <c r="C16" s="13" t="s">
        <v>69</v>
      </c>
      <c r="D16" s="21" t="s">
        <v>69</v>
      </c>
      <c r="E16" s="13" t="s">
        <v>69</v>
      </c>
      <c r="F16" s="13" t="s">
        <v>69</v>
      </c>
      <c r="G16" s="13" t="s">
        <v>69</v>
      </c>
      <c r="H16" s="13" t="s">
        <v>69</v>
      </c>
      <c r="I16" s="19">
        <v>31.28</v>
      </c>
      <c r="J16" s="20">
        <v>12.12</v>
      </c>
      <c r="K16" s="19">
        <v>13.84</v>
      </c>
      <c r="L16" s="19">
        <v>0.3</v>
      </c>
      <c r="M16" s="19" t="s">
        <v>69</v>
      </c>
      <c r="N16" s="19">
        <v>0.71</v>
      </c>
      <c r="O16" s="19">
        <v>0.22</v>
      </c>
      <c r="P16" s="19" t="s">
        <v>69</v>
      </c>
      <c r="Q16" s="19">
        <v>0</v>
      </c>
      <c r="R16" s="18" t="s">
        <v>156</v>
      </c>
      <c r="S16" s="13" t="s">
        <v>69</v>
      </c>
      <c r="T16" s="13" t="s">
        <v>69</v>
      </c>
      <c r="U16" s="13" t="s">
        <v>69</v>
      </c>
      <c r="V16" s="13" t="s">
        <v>69</v>
      </c>
      <c r="W16" s="13" t="s">
        <v>69</v>
      </c>
      <c r="X16" s="13" t="s">
        <v>318</v>
      </c>
      <c r="Y16" s="13" t="s">
        <v>319</v>
      </c>
      <c r="Z16" s="13" t="s">
        <v>69</v>
      </c>
      <c r="AA16" s="13" t="s">
        <v>320</v>
      </c>
      <c r="AB16" s="13" t="s">
        <v>222</v>
      </c>
      <c r="AC16" s="18" t="s">
        <v>321</v>
      </c>
      <c r="AD16" s="13" t="s">
        <v>162</v>
      </c>
      <c r="AE16" s="18" t="s">
        <v>69</v>
      </c>
      <c r="AF16" s="18" t="s">
        <v>69</v>
      </c>
      <c r="AG16" s="13" t="s">
        <v>69</v>
      </c>
      <c r="AH16" s="13" t="s">
        <v>78</v>
      </c>
      <c r="AI16" s="13" t="s">
        <v>132</v>
      </c>
      <c r="AJ16" s="13" t="s">
        <v>69</v>
      </c>
      <c r="AK16" s="13" t="s">
        <v>69</v>
      </c>
      <c r="AL16" s="13" t="s">
        <v>69</v>
      </c>
      <c r="AM16" s="13" t="s">
        <v>322</v>
      </c>
      <c r="AN16" s="13" t="s">
        <v>165</v>
      </c>
      <c r="AO16" s="13" t="s">
        <v>69</v>
      </c>
      <c r="AP16" s="13" t="s">
        <v>316</v>
      </c>
      <c r="AQ16" s="13" t="s">
        <v>323</v>
      </c>
      <c r="AR16" s="13" t="s">
        <v>85</v>
      </c>
      <c r="AS16" s="13" t="s">
        <v>86</v>
      </c>
      <c r="AT16" s="13" t="s">
        <v>87</v>
      </c>
      <c r="AU16" s="13" t="s">
        <v>112</v>
      </c>
      <c r="AV16" s="13" t="s">
        <v>69</v>
      </c>
      <c r="AW16" s="13" t="s">
        <v>324</v>
      </c>
      <c r="AX16" s="13" t="s">
        <v>69</v>
      </c>
      <c r="AY16" s="13" t="s">
        <v>90</v>
      </c>
      <c r="AZ16" s="17" t="s">
        <v>69</v>
      </c>
      <c r="BA16" s="13" t="s">
        <v>69</v>
      </c>
      <c r="BB16" s="13" t="s">
        <v>92</v>
      </c>
      <c r="BC16" s="13" t="s">
        <v>93</v>
      </c>
      <c r="BD16" s="11" t="str">
        <f>HYPERLINK("http://thejewelhut.co.uk","thejewelhut.co.uk")</f>
        <v>thejewelhut.co.uk</v>
      </c>
      <c r="BE16" s="13" t="s">
        <v>69</v>
      </c>
      <c r="BF16" s="16">
        <v>134</v>
      </c>
      <c r="BG16" s="13" t="s">
        <v>325</v>
      </c>
      <c r="BH16" s="13" t="s">
        <v>69</v>
      </c>
      <c r="BI16" s="13" t="s">
        <v>69</v>
      </c>
      <c r="BJ16" s="15">
        <v>1952</v>
      </c>
      <c r="BK16" s="13" t="s">
        <v>69</v>
      </c>
      <c r="BL16" s="14">
        <v>45387</v>
      </c>
      <c r="BM16" s="13" t="s">
        <v>69</v>
      </c>
      <c r="BN16" s="13" t="s">
        <v>69</v>
      </c>
      <c r="BO16" s="11" t="str">
        <f>HYPERLINK("https://my.pitchbook.com?c=206582-23","View Company Online")</f>
        <v>View Company Online</v>
      </c>
    </row>
    <row r="17" spans="1:67" x14ac:dyDescent="0.3">
      <c r="A17" s="3" t="s">
        <v>326</v>
      </c>
      <c r="B17" s="3" t="s">
        <v>327</v>
      </c>
      <c r="C17" s="3" t="s">
        <v>69</v>
      </c>
      <c r="D17" s="5" t="s">
        <v>69</v>
      </c>
      <c r="E17" s="3" t="s">
        <v>69</v>
      </c>
      <c r="F17" s="3" t="s">
        <v>69</v>
      </c>
      <c r="G17" s="3" t="s">
        <v>69</v>
      </c>
      <c r="H17" s="3" t="s">
        <v>69</v>
      </c>
      <c r="I17" s="4">
        <v>27.36</v>
      </c>
      <c r="J17" s="7">
        <v>-18.600000000000001</v>
      </c>
      <c r="K17" s="4" t="s">
        <v>69</v>
      </c>
      <c r="L17" s="4">
        <v>0.12</v>
      </c>
      <c r="M17" s="4" t="s">
        <v>69</v>
      </c>
      <c r="N17" s="4">
        <v>0.25</v>
      </c>
      <c r="O17" s="4">
        <v>0.19</v>
      </c>
      <c r="P17" s="4" t="s">
        <v>69</v>
      </c>
      <c r="Q17" s="4">
        <v>0</v>
      </c>
      <c r="R17" s="6" t="s">
        <v>156</v>
      </c>
      <c r="S17" s="3" t="s">
        <v>69</v>
      </c>
      <c r="T17" s="3" t="s">
        <v>69</v>
      </c>
      <c r="U17" s="3" t="s">
        <v>69</v>
      </c>
      <c r="V17" s="3" t="s">
        <v>69</v>
      </c>
      <c r="W17" s="3" t="s">
        <v>69</v>
      </c>
      <c r="X17" s="3" t="s">
        <v>328</v>
      </c>
      <c r="Y17" s="3" t="s">
        <v>329</v>
      </c>
      <c r="Z17" s="3" t="s">
        <v>69</v>
      </c>
      <c r="AA17" s="3" t="s">
        <v>330</v>
      </c>
      <c r="AB17" s="3" t="s">
        <v>331</v>
      </c>
      <c r="AC17" s="6" t="s">
        <v>332</v>
      </c>
      <c r="AD17" s="3" t="s">
        <v>333</v>
      </c>
      <c r="AE17" s="6" t="s">
        <v>69</v>
      </c>
      <c r="AF17" s="6" t="s">
        <v>69</v>
      </c>
      <c r="AG17" s="3" t="s">
        <v>69</v>
      </c>
      <c r="AH17" s="3" t="s">
        <v>78</v>
      </c>
      <c r="AI17" s="3" t="s">
        <v>107</v>
      </c>
      <c r="AJ17" s="3" t="s">
        <v>334</v>
      </c>
      <c r="AK17" s="3" t="s">
        <v>69</v>
      </c>
      <c r="AL17" s="3" t="s">
        <v>335</v>
      </c>
      <c r="AM17" s="3" t="s">
        <v>336</v>
      </c>
      <c r="AN17" s="3" t="s">
        <v>337</v>
      </c>
      <c r="AO17" s="3" t="s">
        <v>69</v>
      </c>
      <c r="AP17" s="3" t="s">
        <v>326</v>
      </c>
      <c r="AQ17" s="3" t="s">
        <v>338</v>
      </c>
      <c r="AR17" s="3" t="s">
        <v>185</v>
      </c>
      <c r="AS17" s="3" t="s">
        <v>186</v>
      </c>
      <c r="AT17" s="3" t="s">
        <v>187</v>
      </c>
      <c r="AU17" s="3" t="s">
        <v>188</v>
      </c>
      <c r="AV17" s="3" t="s">
        <v>69</v>
      </c>
      <c r="AW17" s="3" t="s">
        <v>69</v>
      </c>
      <c r="AX17" s="3" t="s">
        <v>69</v>
      </c>
      <c r="AY17" s="3" t="s">
        <v>90</v>
      </c>
      <c r="AZ17" s="8" t="s">
        <v>69</v>
      </c>
      <c r="BA17" s="3" t="s">
        <v>69</v>
      </c>
      <c r="BB17" s="3" t="s">
        <v>92</v>
      </c>
      <c r="BC17" s="3" t="s">
        <v>93</v>
      </c>
      <c r="BD17" s="12" t="str">
        <f>HYPERLINK("http://macforum.se","macforum.se")</f>
        <v>macforum.se</v>
      </c>
      <c r="BE17" s="3" t="s">
        <v>69</v>
      </c>
      <c r="BF17" s="9">
        <v>62</v>
      </c>
      <c r="BG17" s="3" t="s">
        <v>339</v>
      </c>
      <c r="BH17" s="3" t="s">
        <v>69</v>
      </c>
      <c r="BI17" s="3" t="s">
        <v>69</v>
      </c>
      <c r="BJ17" s="10">
        <v>1991</v>
      </c>
      <c r="BK17" s="3" t="s">
        <v>69</v>
      </c>
      <c r="BL17" s="1">
        <v>45490</v>
      </c>
      <c r="BM17" s="3" t="s">
        <v>69</v>
      </c>
      <c r="BN17" s="3" t="s">
        <v>69</v>
      </c>
      <c r="BO17" s="12" t="str">
        <f>HYPERLINK("https://my.pitchbook.com?c=514058-50","View Company Online")</f>
        <v>View Company Online</v>
      </c>
    </row>
    <row r="18" spans="1:67" x14ac:dyDescent="0.3">
      <c r="A18" s="13" t="s">
        <v>340</v>
      </c>
      <c r="B18" s="13" t="s">
        <v>341</v>
      </c>
      <c r="C18" s="13" t="s">
        <v>69</v>
      </c>
      <c r="D18" s="21" t="s">
        <v>69</v>
      </c>
      <c r="E18" s="13" t="s">
        <v>69</v>
      </c>
      <c r="F18" s="13" t="s">
        <v>69</v>
      </c>
      <c r="G18" s="13" t="s">
        <v>69</v>
      </c>
      <c r="H18" s="13" t="s">
        <v>69</v>
      </c>
      <c r="I18" s="19">
        <v>27.17</v>
      </c>
      <c r="J18" s="20">
        <v>1.91</v>
      </c>
      <c r="K18" s="19" t="s">
        <v>69</v>
      </c>
      <c r="L18" s="19">
        <v>0.14000000000000001</v>
      </c>
      <c r="M18" s="19" t="s">
        <v>69</v>
      </c>
      <c r="N18" s="19">
        <v>4.63</v>
      </c>
      <c r="O18" s="19">
        <v>0.14000000000000001</v>
      </c>
      <c r="P18" s="19" t="s">
        <v>69</v>
      </c>
      <c r="Q18" s="19">
        <v>0</v>
      </c>
      <c r="R18" s="18" t="s">
        <v>70</v>
      </c>
      <c r="S18" s="13" t="s">
        <v>69</v>
      </c>
      <c r="T18" s="13" t="s">
        <v>69</v>
      </c>
      <c r="U18" s="13" t="s">
        <v>69</v>
      </c>
      <c r="V18" s="13" t="s">
        <v>69</v>
      </c>
      <c r="W18" s="13" t="s">
        <v>69</v>
      </c>
      <c r="X18" s="13" t="s">
        <v>342</v>
      </c>
      <c r="Y18" s="13" t="s">
        <v>343</v>
      </c>
      <c r="Z18" s="13" t="s">
        <v>69</v>
      </c>
      <c r="AA18" s="13" t="s">
        <v>69</v>
      </c>
      <c r="AB18" s="13" t="s">
        <v>69</v>
      </c>
      <c r="AC18" s="18" t="s">
        <v>69</v>
      </c>
      <c r="AD18" s="13" t="s">
        <v>342</v>
      </c>
      <c r="AE18" s="18" t="s">
        <v>69</v>
      </c>
      <c r="AF18" s="18" t="s">
        <v>69</v>
      </c>
      <c r="AG18" s="13" t="s">
        <v>69</v>
      </c>
      <c r="AH18" s="13" t="s">
        <v>78</v>
      </c>
      <c r="AI18" s="13" t="s">
        <v>132</v>
      </c>
      <c r="AJ18" s="13" t="s">
        <v>344</v>
      </c>
      <c r="AK18" s="13" t="s">
        <v>69</v>
      </c>
      <c r="AL18" s="13" t="s">
        <v>69</v>
      </c>
      <c r="AM18" s="13" t="s">
        <v>345</v>
      </c>
      <c r="AN18" s="13" t="s">
        <v>346</v>
      </c>
      <c r="AO18" s="13" t="s">
        <v>69</v>
      </c>
      <c r="AP18" s="13" t="s">
        <v>340</v>
      </c>
      <c r="AQ18" s="13" t="s">
        <v>347</v>
      </c>
      <c r="AR18" s="13" t="s">
        <v>185</v>
      </c>
      <c r="AS18" s="13" t="s">
        <v>348</v>
      </c>
      <c r="AT18" s="13" t="s">
        <v>349</v>
      </c>
      <c r="AU18" s="13" t="s">
        <v>350</v>
      </c>
      <c r="AV18" s="13" t="s">
        <v>69</v>
      </c>
      <c r="AW18" s="13" t="s">
        <v>69</v>
      </c>
      <c r="AX18" s="13" t="s">
        <v>69</v>
      </c>
      <c r="AY18" s="13" t="s">
        <v>90</v>
      </c>
      <c r="AZ18" s="17" t="s">
        <v>69</v>
      </c>
      <c r="BA18" s="13" t="s">
        <v>69</v>
      </c>
      <c r="BB18" s="13" t="s">
        <v>92</v>
      </c>
      <c r="BC18" s="13" t="s">
        <v>93</v>
      </c>
      <c r="BD18" s="11" t="str">
        <f>HYPERLINK("http://dublinzoo.ie","dublinzoo.ie")</f>
        <v>dublinzoo.ie</v>
      </c>
      <c r="BE18" s="13" t="s">
        <v>69</v>
      </c>
      <c r="BF18" s="16">
        <v>181</v>
      </c>
      <c r="BG18" s="13" t="s">
        <v>351</v>
      </c>
      <c r="BH18" s="13" t="s">
        <v>69</v>
      </c>
      <c r="BI18" s="13" t="s">
        <v>69</v>
      </c>
      <c r="BJ18" s="15">
        <v>1993</v>
      </c>
      <c r="BK18" s="13" t="s">
        <v>69</v>
      </c>
      <c r="BL18" s="14">
        <v>45491</v>
      </c>
      <c r="BM18" s="13" t="s">
        <v>69</v>
      </c>
      <c r="BN18" s="13" t="s">
        <v>69</v>
      </c>
      <c r="BO18" s="11" t="str">
        <f>HYPERLINK("https://my.pitchbook.com?c=587644-57","View Company Online")</f>
        <v>View Company Online</v>
      </c>
    </row>
    <row r="19" spans="1:67" x14ac:dyDescent="0.3">
      <c r="A19" s="3" t="s">
        <v>352</v>
      </c>
      <c r="B19" s="3" t="s">
        <v>353</v>
      </c>
      <c r="C19" s="3" t="s">
        <v>69</v>
      </c>
      <c r="D19" s="5" t="s">
        <v>69</v>
      </c>
      <c r="E19" s="3" t="s">
        <v>69</v>
      </c>
      <c r="F19" s="3" t="s">
        <v>69</v>
      </c>
      <c r="G19" s="3" t="s">
        <v>69</v>
      </c>
      <c r="H19" s="3" t="s">
        <v>69</v>
      </c>
      <c r="I19" s="4">
        <v>24.91</v>
      </c>
      <c r="J19" s="7">
        <v>4.1500000000000004</v>
      </c>
      <c r="K19" s="4" t="s">
        <v>69</v>
      </c>
      <c r="L19" s="4">
        <v>0.01</v>
      </c>
      <c r="M19" s="4" t="s">
        <v>69</v>
      </c>
      <c r="N19" s="4">
        <v>0.23</v>
      </c>
      <c r="O19" s="4">
        <v>0.02</v>
      </c>
      <c r="P19" s="4" t="s">
        <v>69</v>
      </c>
      <c r="Q19" s="4">
        <v>0</v>
      </c>
      <c r="R19" s="6" t="s">
        <v>70</v>
      </c>
      <c r="S19" s="3" t="s">
        <v>69</v>
      </c>
      <c r="T19" s="3" t="s">
        <v>69</v>
      </c>
      <c r="U19" s="3" t="s">
        <v>69</v>
      </c>
      <c r="V19" s="3" t="s">
        <v>69</v>
      </c>
      <c r="W19" s="3" t="s">
        <v>69</v>
      </c>
      <c r="X19" s="3" t="s">
        <v>354</v>
      </c>
      <c r="Y19" s="3" t="s">
        <v>355</v>
      </c>
      <c r="Z19" s="3" t="s">
        <v>69</v>
      </c>
      <c r="AA19" s="3" t="s">
        <v>356</v>
      </c>
      <c r="AB19" s="3" t="s">
        <v>69</v>
      </c>
      <c r="AC19" s="6" t="s">
        <v>357</v>
      </c>
      <c r="AD19" s="3" t="s">
        <v>358</v>
      </c>
      <c r="AE19" s="6" t="s">
        <v>69</v>
      </c>
      <c r="AF19" s="6" t="s">
        <v>69</v>
      </c>
      <c r="AG19" s="3" t="s">
        <v>69</v>
      </c>
      <c r="AH19" s="3" t="s">
        <v>78</v>
      </c>
      <c r="AI19" s="3" t="s">
        <v>359</v>
      </c>
      <c r="AJ19" s="3" t="s">
        <v>69</v>
      </c>
      <c r="AK19" s="3" t="s">
        <v>69</v>
      </c>
      <c r="AL19" s="3" t="s">
        <v>360</v>
      </c>
      <c r="AM19" s="3" t="s">
        <v>361</v>
      </c>
      <c r="AN19" s="3" t="s">
        <v>362</v>
      </c>
      <c r="AO19" s="3" t="s">
        <v>69</v>
      </c>
      <c r="AP19" s="3" t="s">
        <v>352</v>
      </c>
      <c r="AQ19" s="3" t="s">
        <v>363</v>
      </c>
      <c r="AR19" s="3" t="s">
        <v>85</v>
      </c>
      <c r="AS19" s="3" t="s">
        <v>86</v>
      </c>
      <c r="AT19" s="3" t="s">
        <v>87</v>
      </c>
      <c r="AU19" s="3" t="s">
        <v>112</v>
      </c>
      <c r="AV19" s="3" t="s">
        <v>69</v>
      </c>
      <c r="AW19" s="3" t="s">
        <v>69</v>
      </c>
      <c r="AX19" s="3" t="s">
        <v>69</v>
      </c>
      <c r="AY19" s="3" t="s">
        <v>90</v>
      </c>
      <c r="AZ19" s="8" t="s">
        <v>69</v>
      </c>
      <c r="BA19" s="3" t="s">
        <v>69</v>
      </c>
      <c r="BB19" s="3" t="s">
        <v>92</v>
      </c>
      <c r="BC19" s="3" t="s">
        <v>93</v>
      </c>
      <c r="BD19" s="12" t="str">
        <f>HYPERLINK("http://www.swiss.com.pl","www.swiss.com.pl")</f>
        <v>www.swiss.com.pl</v>
      </c>
      <c r="BE19" s="3" t="s">
        <v>69</v>
      </c>
      <c r="BF19" s="9">
        <v>437</v>
      </c>
      <c r="BG19" s="3" t="s">
        <v>364</v>
      </c>
      <c r="BH19" s="3" t="s">
        <v>69</v>
      </c>
      <c r="BI19" s="3" t="s">
        <v>69</v>
      </c>
      <c r="BJ19" s="10">
        <v>1995</v>
      </c>
      <c r="BK19" s="3" t="s">
        <v>69</v>
      </c>
      <c r="BL19" s="1">
        <v>45649</v>
      </c>
      <c r="BM19" s="3" t="s">
        <v>69</v>
      </c>
      <c r="BN19" s="3" t="s">
        <v>69</v>
      </c>
      <c r="BO19" s="12" t="str">
        <f>HYPERLINK("https://my.pitchbook.com?c=511726-06","View Company Online")</f>
        <v>View Company Online</v>
      </c>
    </row>
    <row r="20" spans="1:67" x14ac:dyDescent="0.3">
      <c r="A20" s="13" t="s">
        <v>365</v>
      </c>
      <c r="B20" s="13" t="s">
        <v>366</v>
      </c>
      <c r="C20" s="13" t="s">
        <v>69</v>
      </c>
      <c r="D20" s="21" t="s">
        <v>69</v>
      </c>
      <c r="E20" s="13" t="s">
        <v>69</v>
      </c>
      <c r="F20" s="13" t="s">
        <v>69</v>
      </c>
      <c r="G20" s="13" t="s">
        <v>69</v>
      </c>
      <c r="H20" s="13" t="s">
        <v>69</v>
      </c>
      <c r="I20" s="19">
        <v>24.72</v>
      </c>
      <c r="J20" s="20" t="s">
        <v>69</v>
      </c>
      <c r="K20" s="19" t="s">
        <v>69</v>
      </c>
      <c r="L20" s="19">
        <v>6.23</v>
      </c>
      <c r="M20" s="19" t="s">
        <v>69</v>
      </c>
      <c r="N20" s="19" t="s">
        <v>69</v>
      </c>
      <c r="O20" s="19" t="s">
        <v>69</v>
      </c>
      <c r="P20" s="19" t="s">
        <v>69</v>
      </c>
      <c r="Q20" s="19" t="s">
        <v>69</v>
      </c>
      <c r="R20" s="18" t="s">
        <v>367</v>
      </c>
      <c r="S20" s="13" t="s">
        <v>368</v>
      </c>
      <c r="T20" s="13" t="s">
        <v>369</v>
      </c>
      <c r="U20" s="13" t="s">
        <v>370</v>
      </c>
      <c r="V20" s="13" t="s">
        <v>371</v>
      </c>
      <c r="W20" s="13" t="s">
        <v>372</v>
      </c>
      <c r="X20" s="13" t="s">
        <v>373</v>
      </c>
      <c r="Y20" s="13" t="s">
        <v>374</v>
      </c>
      <c r="Z20" s="13" t="s">
        <v>69</v>
      </c>
      <c r="AA20" s="13" t="s">
        <v>375</v>
      </c>
      <c r="AB20" s="13" t="s">
        <v>376</v>
      </c>
      <c r="AC20" s="18" t="s">
        <v>377</v>
      </c>
      <c r="AD20" s="13" t="s">
        <v>378</v>
      </c>
      <c r="AE20" s="18" t="s">
        <v>372</v>
      </c>
      <c r="AF20" s="18" t="s">
        <v>69</v>
      </c>
      <c r="AG20" s="13" t="s">
        <v>69</v>
      </c>
      <c r="AH20" s="13" t="s">
        <v>379</v>
      </c>
      <c r="AI20" s="13" t="s">
        <v>380</v>
      </c>
      <c r="AJ20" s="13" t="s">
        <v>69</v>
      </c>
      <c r="AK20" s="13" t="s">
        <v>69</v>
      </c>
      <c r="AL20" s="13" t="s">
        <v>381</v>
      </c>
      <c r="AM20" s="13" t="s">
        <v>69</v>
      </c>
      <c r="AN20" s="13" t="s">
        <v>69</v>
      </c>
      <c r="AO20" s="13" t="s">
        <v>69</v>
      </c>
      <c r="AP20" s="13" t="s">
        <v>365</v>
      </c>
      <c r="AQ20" s="13" t="s">
        <v>382</v>
      </c>
      <c r="AR20" s="13" t="s">
        <v>383</v>
      </c>
      <c r="AS20" s="13" t="s">
        <v>384</v>
      </c>
      <c r="AT20" s="13" t="s">
        <v>385</v>
      </c>
      <c r="AU20" s="13" t="s">
        <v>386</v>
      </c>
      <c r="AV20" s="13" t="s">
        <v>69</v>
      </c>
      <c r="AW20" s="13" t="s">
        <v>69</v>
      </c>
      <c r="AX20" s="13" t="s">
        <v>69</v>
      </c>
      <c r="AY20" s="13" t="s">
        <v>90</v>
      </c>
      <c r="AZ20" s="17" t="s">
        <v>69</v>
      </c>
      <c r="BA20" s="13" t="s">
        <v>91</v>
      </c>
      <c r="BB20" s="13" t="s">
        <v>92</v>
      </c>
      <c r="BC20" s="13" t="s">
        <v>93</v>
      </c>
      <c r="BD20" s="11" t="str">
        <f>HYPERLINK("http://highwatchrecovery.org","highwatchrecovery.org")</f>
        <v>highwatchrecovery.org</v>
      </c>
      <c r="BE20" s="13" t="s">
        <v>69</v>
      </c>
      <c r="BF20" s="16">
        <v>115</v>
      </c>
      <c r="BG20" s="13" t="s">
        <v>387</v>
      </c>
      <c r="BH20" s="13" t="s">
        <v>69</v>
      </c>
      <c r="BI20" s="13" t="s">
        <v>69</v>
      </c>
      <c r="BJ20" s="15">
        <v>1928</v>
      </c>
      <c r="BK20" s="13" t="s">
        <v>69</v>
      </c>
      <c r="BL20" s="14">
        <v>45664</v>
      </c>
      <c r="BM20" s="13" t="s">
        <v>69</v>
      </c>
      <c r="BN20" s="13" t="s">
        <v>69</v>
      </c>
      <c r="BO20" s="11" t="str">
        <f>HYPERLINK("https://my.pitchbook.com?c=365237-65","View Company Online")</f>
        <v>View Company Online</v>
      </c>
    </row>
    <row r="21" spans="1:67" x14ac:dyDescent="0.3">
      <c r="A21" s="3" t="s">
        <v>388</v>
      </c>
      <c r="B21" s="3" t="s">
        <v>389</v>
      </c>
      <c r="C21" s="3" t="s">
        <v>69</v>
      </c>
      <c r="D21" s="5" t="s">
        <v>69</v>
      </c>
      <c r="E21" s="3" t="s">
        <v>69</v>
      </c>
      <c r="F21" s="3" t="s">
        <v>69</v>
      </c>
      <c r="G21" s="3" t="s">
        <v>69</v>
      </c>
      <c r="H21" s="3" t="s">
        <v>69</v>
      </c>
      <c r="I21" s="4">
        <v>20.88</v>
      </c>
      <c r="J21" s="7">
        <v>5.96</v>
      </c>
      <c r="K21" s="4" t="s">
        <v>69</v>
      </c>
      <c r="L21" s="4">
        <v>-0.97</v>
      </c>
      <c r="M21" s="4" t="s">
        <v>69</v>
      </c>
      <c r="N21" s="4">
        <v>0.48</v>
      </c>
      <c r="O21" s="4">
        <v>0.15</v>
      </c>
      <c r="P21" s="4" t="s">
        <v>69</v>
      </c>
      <c r="Q21" s="4">
        <v>0</v>
      </c>
      <c r="R21" s="6" t="s">
        <v>156</v>
      </c>
      <c r="S21" s="3" t="s">
        <v>69</v>
      </c>
      <c r="T21" s="3" t="s">
        <v>69</v>
      </c>
      <c r="U21" s="3" t="s">
        <v>69</v>
      </c>
      <c r="V21" s="3" t="s">
        <v>69</v>
      </c>
      <c r="W21" s="3" t="s">
        <v>69</v>
      </c>
      <c r="X21" s="3" t="s">
        <v>390</v>
      </c>
      <c r="Y21" s="3" t="s">
        <v>391</v>
      </c>
      <c r="Z21" s="3" t="s">
        <v>69</v>
      </c>
      <c r="AA21" s="3" t="s">
        <v>392</v>
      </c>
      <c r="AB21" s="3" t="s">
        <v>392</v>
      </c>
      <c r="AC21" s="6" t="s">
        <v>393</v>
      </c>
      <c r="AD21" s="3" t="s">
        <v>75</v>
      </c>
      <c r="AE21" s="6" t="s">
        <v>69</v>
      </c>
      <c r="AF21" s="6" t="s">
        <v>69</v>
      </c>
      <c r="AG21" s="3" t="s">
        <v>394</v>
      </c>
      <c r="AH21" s="3" t="s">
        <v>78</v>
      </c>
      <c r="AI21" s="3" t="s">
        <v>79</v>
      </c>
      <c r="AJ21" s="3" t="s">
        <v>69</v>
      </c>
      <c r="AK21" s="3" t="s">
        <v>69</v>
      </c>
      <c r="AL21" s="3" t="s">
        <v>395</v>
      </c>
      <c r="AM21" s="3" t="s">
        <v>396</v>
      </c>
      <c r="AN21" s="3" t="s">
        <v>83</v>
      </c>
      <c r="AO21" s="3" t="s">
        <v>69</v>
      </c>
      <c r="AP21" s="3" t="s">
        <v>388</v>
      </c>
      <c r="AQ21" s="3" t="s">
        <v>397</v>
      </c>
      <c r="AR21" s="3" t="s">
        <v>185</v>
      </c>
      <c r="AS21" s="3" t="s">
        <v>186</v>
      </c>
      <c r="AT21" s="3" t="s">
        <v>187</v>
      </c>
      <c r="AU21" s="3" t="s">
        <v>188</v>
      </c>
      <c r="AV21" s="3" t="s">
        <v>69</v>
      </c>
      <c r="AW21" s="3" t="s">
        <v>69</v>
      </c>
      <c r="AX21" s="3" t="s">
        <v>69</v>
      </c>
      <c r="AY21" s="3" t="s">
        <v>90</v>
      </c>
      <c r="AZ21" s="8" t="s">
        <v>69</v>
      </c>
      <c r="BA21" s="3" t="s">
        <v>69</v>
      </c>
      <c r="BB21" s="3" t="s">
        <v>92</v>
      </c>
      <c r="BC21" s="3" t="s">
        <v>93</v>
      </c>
      <c r="BD21" s="12" t="str">
        <f>HYPERLINK("http://bindagroup.com","bindagroup.com")</f>
        <v>bindagroup.com</v>
      </c>
      <c r="BE21" s="3" t="s">
        <v>69</v>
      </c>
      <c r="BF21" s="9">
        <v>80</v>
      </c>
      <c r="BG21" s="3" t="s">
        <v>398</v>
      </c>
      <c r="BH21" s="3" t="s">
        <v>69</v>
      </c>
      <c r="BI21" s="3" t="s">
        <v>69</v>
      </c>
      <c r="BJ21" s="10">
        <v>2005</v>
      </c>
      <c r="BK21" s="3" t="s">
        <v>69</v>
      </c>
      <c r="BL21" s="1">
        <v>45722</v>
      </c>
      <c r="BM21" s="3" t="s">
        <v>69</v>
      </c>
      <c r="BN21" s="3" t="s">
        <v>69</v>
      </c>
      <c r="BO21" s="12" t="str">
        <f>HYPERLINK("https://my.pitchbook.com?c=582792-67","View Company Online")</f>
        <v>View Company Online</v>
      </c>
    </row>
    <row r="22" spans="1:67" x14ac:dyDescent="0.3">
      <c r="A22" s="13" t="s">
        <v>399</v>
      </c>
      <c r="B22" s="13" t="s">
        <v>400</v>
      </c>
      <c r="C22" s="13" t="s">
        <v>69</v>
      </c>
      <c r="D22" s="21" t="s">
        <v>69</v>
      </c>
      <c r="E22" s="13" t="s">
        <v>69</v>
      </c>
      <c r="F22" s="13" t="s">
        <v>69</v>
      </c>
      <c r="G22" s="13" t="s">
        <v>69</v>
      </c>
      <c r="H22" s="13" t="s">
        <v>69</v>
      </c>
      <c r="I22" s="19">
        <v>20.399999999999999</v>
      </c>
      <c r="J22" s="20">
        <v>2.67</v>
      </c>
      <c r="K22" s="19">
        <v>11.83</v>
      </c>
      <c r="L22" s="19">
        <v>-5.35</v>
      </c>
      <c r="M22" s="19" t="s">
        <v>69</v>
      </c>
      <c r="N22" s="19">
        <v>-4.6500000000000004</v>
      </c>
      <c r="O22" s="19">
        <v>-5.0199999999999996</v>
      </c>
      <c r="P22" s="19" t="s">
        <v>69</v>
      </c>
      <c r="Q22" s="19">
        <v>0.64</v>
      </c>
      <c r="R22" s="18" t="s">
        <v>70</v>
      </c>
      <c r="S22" s="13" t="s">
        <v>69</v>
      </c>
      <c r="T22" s="13" t="s">
        <v>69</v>
      </c>
      <c r="U22" s="13" t="s">
        <v>69</v>
      </c>
      <c r="V22" s="13" t="s">
        <v>69</v>
      </c>
      <c r="W22" s="13" t="s">
        <v>69</v>
      </c>
      <c r="X22" s="13" t="s">
        <v>157</v>
      </c>
      <c r="Y22" s="13" t="s">
        <v>401</v>
      </c>
      <c r="Z22" s="13" t="s">
        <v>69</v>
      </c>
      <c r="AA22" s="13" t="s">
        <v>159</v>
      </c>
      <c r="AB22" s="13" t="s">
        <v>160</v>
      </c>
      <c r="AC22" s="18" t="s">
        <v>402</v>
      </c>
      <c r="AD22" s="13" t="s">
        <v>162</v>
      </c>
      <c r="AE22" s="18" t="s">
        <v>69</v>
      </c>
      <c r="AF22" s="18" t="s">
        <v>69</v>
      </c>
      <c r="AG22" s="13" t="s">
        <v>69</v>
      </c>
      <c r="AH22" s="13" t="s">
        <v>78</v>
      </c>
      <c r="AI22" s="13" t="s">
        <v>132</v>
      </c>
      <c r="AJ22" s="13" t="s">
        <v>69</v>
      </c>
      <c r="AK22" s="13" t="s">
        <v>69</v>
      </c>
      <c r="AL22" s="13" t="s">
        <v>403</v>
      </c>
      <c r="AM22" s="13" t="s">
        <v>404</v>
      </c>
      <c r="AN22" s="13" t="s">
        <v>165</v>
      </c>
      <c r="AO22" s="13" t="s">
        <v>69</v>
      </c>
      <c r="AP22" s="13" t="s">
        <v>399</v>
      </c>
      <c r="AQ22" s="13" t="s">
        <v>405</v>
      </c>
      <c r="AR22" s="13" t="s">
        <v>185</v>
      </c>
      <c r="AS22" s="13" t="s">
        <v>348</v>
      </c>
      <c r="AT22" s="13" t="s">
        <v>349</v>
      </c>
      <c r="AU22" s="13" t="s">
        <v>350</v>
      </c>
      <c r="AV22" s="13" t="s">
        <v>69</v>
      </c>
      <c r="AW22" s="13" t="s">
        <v>69</v>
      </c>
      <c r="AX22" s="13" t="s">
        <v>69</v>
      </c>
      <c r="AY22" s="13" t="s">
        <v>90</v>
      </c>
      <c r="AZ22" s="17" t="s">
        <v>69</v>
      </c>
      <c r="BA22" s="13" t="s">
        <v>69</v>
      </c>
      <c r="BB22" s="13" t="s">
        <v>92</v>
      </c>
      <c r="BC22" s="13" t="s">
        <v>93</v>
      </c>
      <c r="BD22" s="11" t="str">
        <f>HYPERLINK("http://argento.com","argento.com")</f>
        <v>argento.com</v>
      </c>
      <c r="BE22" s="13" t="s">
        <v>69</v>
      </c>
      <c r="BF22" s="16">
        <v>248</v>
      </c>
      <c r="BG22" s="13" t="s">
        <v>406</v>
      </c>
      <c r="BH22" s="13" t="s">
        <v>69</v>
      </c>
      <c r="BI22" s="13" t="s">
        <v>69</v>
      </c>
      <c r="BJ22" s="15">
        <v>2013</v>
      </c>
      <c r="BK22" s="13" t="s">
        <v>69</v>
      </c>
      <c r="BL22" s="14">
        <v>45647</v>
      </c>
      <c r="BM22" s="13" t="s">
        <v>69</v>
      </c>
      <c r="BN22" s="13" t="s">
        <v>69</v>
      </c>
      <c r="BO22" s="11" t="str">
        <f>HYPERLINK("https://my.pitchbook.com?c=233173-18","View Company Online")</f>
        <v>View Company Online</v>
      </c>
    </row>
    <row r="23" spans="1:67" x14ac:dyDescent="0.3">
      <c r="A23" s="3" t="s">
        <v>407</v>
      </c>
      <c r="B23" s="3" t="s">
        <v>408</v>
      </c>
      <c r="C23" s="3" t="s">
        <v>69</v>
      </c>
      <c r="D23" s="5" t="s">
        <v>69</v>
      </c>
      <c r="E23" s="3" t="s">
        <v>69</v>
      </c>
      <c r="F23" s="3" t="s">
        <v>69</v>
      </c>
      <c r="G23" s="3" t="s">
        <v>69</v>
      </c>
      <c r="H23" s="3" t="s">
        <v>69</v>
      </c>
      <c r="I23" s="4">
        <v>20.2</v>
      </c>
      <c r="J23" s="7">
        <v>16.09</v>
      </c>
      <c r="K23" s="4" t="s">
        <v>69</v>
      </c>
      <c r="L23" s="4" t="s">
        <v>69</v>
      </c>
      <c r="M23" s="4" t="s">
        <v>69</v>
      </c>
      <c r="N23" s="4" t="s">
        <v>69</v>
      </c>
      <c r="O23" s="4" t="s">
        <v>69</v>
      </c>
      <c r="P23" s="4" t="s">
        <v>69</v>
      </c>
      <c r="Q23" s="4" t="s">
        <v>69</v>
      </c>
      <c r="R23" s="6" t="s">
        <v>409</v>
      </c>
      <c r="S23" s="3" t="s">
        <v>410</v>
      </c>
      <c r="T23" s="3" t="s">
        <v>411</v>
      </c>
      <c r="U23" s="3" t="s">
        <v>257</v>
      </c>
      <c r="V23" s="3" t="s">
        <v>412</v>
      </c>
      <c r="W23" s="3" t="s">
        <v>413</v>
      </c>
      <c r="X23" s="3" t="s">
        <v>414</v>
      </c>
      <c r="Y23" s="3" t="s">
        <v>415</v>
      </c>
      <c r="Z23" s="3" t="s">
        <v>69</v>
      </c>
      <c r="AA23" s="3" t="s">
        <v>416</v>
      </c>
      <c r="AB23" s="3" t="s">
        <v>417</v>
      </c>
      <c r="AC23" s="6" t="s">
        <v>418</v>
      </c>
      <c r="AD23" s="3" t="s">
        <v>378</v>
      </c>
      <c r="AE23" s="6" t="s">
        <v>413</v>
      </c>
      <c r="AF23" s="6" t="s">
        <v>69</v>
      </c>
      <c r="AG23" s="3" t="s">
        <v>419</v>
      </c>
      <c r="AH23" s="3" t="s">
        <v>379</v>
      </c>
      <c r="AI23" s="3" t="s">
        <v>380</v>
      </c>
      <c r="AJ23" s="3" t="s">
        <v>69</v>
      </c>
      <c r="AK23" s="3" t="s">
        <v>69</v>
      </c>
      <c r="AL23" s="3" t="s">
        <v>420</v>
      </c>
      <c r="AM23" s="3" t="s">
        <v>69</v>
      </c>
      <c r="AN23" s="3" t="s">
        <v>69</v>
      </c>
      <c r="AO23" s="3" t="s">
        <v>69</v>
      </c>
      <c r="AP23" s="3" t="s">
        <v>407</v>
      </c>
      <c r="AQ23" s="3" t="s">
        <v>421</v>
      </c>
      <c r="AR23" s="3" t="s">
        <v>422</v>
      </c>
      <c r="AS23" s="3" t="s">
        <v>423</v>
      </c>
      <c r="AT23" s="3" t="s">
        <v>424</v>
      </c>
      <c r="AU23" s="3" t="s">
        <v>425</v>
      </c>
      <c r="AV23" s="3" t="s">
        <v>426</v>
      </c>
      <c r="AW23" s="3" t="s">
        <v>427</v>
      </c>
      <c r="AX23" s="3" t="s">
        <v>69</v>
      </c>
      <c r="AY23" s="3" t="s">
        <v>90</v>
      </c>
      <c r="AZ23" s="8" t="s">
        <v>69</v>
      </c>
      <c r="BA23" s="3" t="s">
        <v>91</v>
      </c>
      <c r="BB23" s="3" t="s">
        <v>92</v>
      </c>
      <c r="BC23" s="3" t="s">
        <v>93</v>
      </c>
      <c r="BD23" s="12" t="str">
        <f>HYPERLINK("http://www.backgroundchecks.com","www.backgroundchecks.com")</f>
        <v>www.backgroundchecks.com</v>
      </c>
      <c r="BE23" s="12" t="str">
        <f>HYPERLINK("http://www.linkedin.com/company/backgroundchecks.com","http://www.linkedin.com/company/backgroundchecks.com")</f>
        <v>http://www.linkedin.com/company/backgroundchecks.com</v>
      </c>
      <c r="BF23" s="9">
        <v>70</v>
      </c>
      <c r="BG23" s="3" t="s">
        <v>428</v>
      </c>
      <c r="BH23" s="3" t="s">
        <v>69</v>
      </c>
      <c r="BI23" s="3" t="s">
        <v>69</v>
      </c>
      <c r="BJ23" s="10">
        <v>1999</v>
      </c>
      <c r="BK23" s="3" t="s">
        <v>69</v>
      </c>
      <c r="BL23" s="1">
        <v>45741</v>
      </c>
      <c r="BM23" s="3" t="s">
        <v>69</v>
      </c>
      <c r="BN23" s="3" t="s">
        <v>69</v>
      </c>
      <c r="BO23" s="12" t="str">
        <f>HYPERLINK("https://my.pitchbook.com?c=349177-06","View Company Online")</f>
        <v>View Company Online</v>
      </c>
    </row>
    <row r="24" spans="1:67" x14ac:dyDescent="0.3">
      <c r="A24" s="13" t="s">
        <v>429</v>
      </c>
      <c r="B24" s="13" t="s">
        <v>430</v>
      </c>
      <c r="C24" s="13" t="s">
        <v>69</v>
      </c>
      <c r="D24" s="21" t="s">
        <v>69</v>
      </c>
      <c r="E24" s="13" t="s">
        <v>69</v>
      </c>
      <c r="F24" s="13" t="s">
        <v>69</v>
      </c>
      <c r="G24" s="13" t="s">
        <v>69</v>
      </c>
      <c r="H24" s="13" t="s">
        <v>69</v>
      </c>
      <c r="I24" s="19">
        <v>20.05</v>
      </c>
      <c r="J24" s="20">
        <v>6.56</v>
      </c>
      <c r="K24" s="19" t="s">
        <v>69</v>
      </c>
      <c r="L24" s="19">
        <v>0.1</v>
      </c>
      <c r="M24" s="19" t="s">
        <v>69</v>
      </c>
      <c r="N24" s="19">
        <v>0.4</v>
      </c>
      <c r="O24" s="19">
        <v>0.28999999999999998</v>
      </c>
      <c r="P24" s="19" t="s">
        <v>69</v>
      </c>
      <c r="Q24" s="19">
        <v>0</v>
      </c>
      <c r="R24" s="18" t="s">
        <v>70</v>
      </c>
      <c r="S24" s="13" t="s">
        <v>69</v>
      </c>
      <c r="T24" s="13" t="s">
        <v>69</v>
      </c>
      <c r="U24" s="13" t="s">
        <v>69</v>
      </c>
      <c r="V24" s="13" t="s">
        <v>69</v>
      </c>
      <c r="W24" s="13" t="s">
        <v>69</v>
      </c>
      <c r="X24" s="13" t="s">
        <v>354</v>
      </c>
      <c r="Y24" s="13" t="s">
        <v>431</v>
      </c>
      <c r="Z24" s="13" t="s">
        <v>69</v>
      </c>
      <c r="AA24" s="13" t="s">
        <v>356</v>
      </c>
      <c r="AB24" s="13" t="s">
        <v>69</v>
      </c>
      <c r="AC24" s="18" t="s">
        <v>432</v>
      </c>
      <c r="AD24" s="13" t="s">
        <v>358</v>
      </c>
      <c r="AE24" s="18" t="s">
        <v>69</v>
      </c>
      <c r="AF24" s="18" t="s">
        <v>69</v>
      </c>
      <c r="AG24" s="13" t="s">
        <v>69</v>
      </c>
      <c r="AH24" s="13" t="s">
        <v>78</v>
      </c>
      <c r="AI24" s="13" t="s">
        <v>359</v>
      </c>
      <c r="AJ24" s="13" t="s">
        <v>69</v>
      </c>
      <c r="AK24" s="13" t="s">
        <v>69</v>
      </c>
      <c r="AL24" s="13" t="s">
        <v>433</v>
      </c>
      <c r="AM24" s="13" t="s">
        <v>434</v>
      </c>
      <c r="AN24" s="13" t="s">
        <v>362</v>
      </c>
      <c r="AO24" s="13" t="s">
        <v>69</v>
      </c>
      <c r="AP24" s="13" t="s">
        <v>429</v>
      </c>
      <c r="AQ24" s="13" t="s">
        <v>435</v>
      </c>
      <c r="AR24" s="13" t="s">
        <v>85</v>
      </c>
      <c r="AS24" s="13" t="s">
        <v>86</v>
      </c>
      <c r="AT24" s="13" t="s">
        <v>87</v>
      </c>
      <c r="AU24" s="13" t="s">
        <v>112</v>
      </c>
      <c r="AV24" s="13" t="s">
        <v>69</v>
      </c>
      <c r="AW24" s="13" t="s">
        <v>69</v>
      </c>
      <c r="AX24" s="13" t="s">
        <v>69</v>
      </c>
      <c r="AY24" s="13" t="s">
        <v>90</v>
      </c>
      <c r="AZ24" s="17" t="s">
        <v>69</v>
      </c>
      <c r="BA24" s="13" t="s">
        <v>69</v>
      </c>
      <c r="BB24" s="13" t="s">
        <v>92</v>
      </c>
      <c r="BC24" s="13" t="s">
        <v>93</v>
      </c>
      <c r="BD24" s="11" t="str">
        <f>HYPERLINK("http://www.halebanacha.pl","www.halebanacha.pl")</f>
        <v>www.halebanacha.pl</v>
      </c>
      <c r="BE24" s="13" t="s">
        <v>69</v>
      </c>
      <c r="BF24" s="16">
        <v>157</v>
      </c>
      <c r="BG24" s="13" t="s">
        <v>436</v>
      </c>
      <c r="BH24" s="13" t="s">
        <v>69</v>
      </c>
      <c r="BI24" s="13" t="s">
        <v>69</v>
      </c>
      <c r="BJ24" s="15">
        <v>1990</v>
      </c>
      <c r="BK24" s="13" t="s">
        <v>69</v>
      </c>
      <c r="BL24" s="14">
        <v>45648</v>
      </c>
      <c r="BM24" s="13" t="s">
        <v>69</v>
      </c>
      <c r="BN24" s="13" t="s">
        <v>69</v>
      </c>
      <c r="BO24" s="11" t="str">
        <f>HYPERLINK("https://my.pitchbook.com?c=511889-77","View Company Online")</f>
        <v>View Company Online</v>
      </c>
    </row>
    <row r="25" spans="1:67" x14ac:dyDescent="0.3">
      <c r="A25" s="3" t="s">
        <v>437</v>
      </c>
      <c r="B25" s="3" t="s">
        <v>438</v>
      </c>
      <c r="C25" s="3" t="s">
        <v>69</v>
      </c>
      <c r="D25" s="5" t="s">
        <v>69</v>
      </c>
      <c r="E25" s="3" t="s">
        <v>69</v>
      </c>
      <c r="F25" s="3" t="s">
        <v>69</v>
      </c>
      <c r="G25" s="3" t="s">
        <v>69</v>
      </c>
      <c r="H25" s="3" t="s">
        <v>69</v>
      </c>
      <c r="I25" s="4">
        <v>19.25</v>
      </c>
      <c r="J25" s="7">
        <v>-17.21</v>
      </c>
      <c r="K25" s="4">
        <v>2.79</v>
      </c>
      <c r="L25" s="4">
        <v>-2.61</v>
      </c>
      <c r="M25" s="4">
        <v>22.27</v>
      </c>
      <c r="N25" s="4">
        <v>-1.74</v>
      </c>
      <c r="O25" s="4">
        <v>-2.17</v>
      </c>
      <c r="P25" s="4">
        <v>3.94</v>
      </c>
      <c r="Q25" s="4">
        <v>7.61</v>
      </c>
      <c r="R25" s="6" t="s">
        <v>439</v>
      </c>
      <c r="S25" s="3" t="s">
        <v>69</v>
      </c>
      <c r="T25" s="3" t="s">
        <v>69</v>
      </c>
      <c r="U25" s="3" t="s">
        <v>69</v>
      </c>
      <c r="V25" s="3" t="s">
        <v>69</v>
      </c>
      <c r="W25" s="3" t="s">
        <v>69</v>
      </c>
      <c r="X25" s="3" t="s">
        <v>440</v>
      </c>
      <c r="Y25" s="3" t="s">
        <v>441</v>
      </c>
      <c r="Z25" s="3" t="s">
        <v>69</v>
      </c>
      <c r="AA25" s="3" t="s">
        <v>442</v>
      </c>
      <c r="AB25" s="3" t="s">
        <v>69</v>
      </c>
      <c r="AC25" s="6" t="s">
        <v>443</v>
      </c>
      <c r="AD25" s="3" t="s">
        <v>444</v>
      </c>
      <c r="AE25" s="6" t="s">
        <v>445</v>
      </c>
      <c r="AF25" s="6" t="s">
        <v>69</v>
      </c>
      <c r="AG25" s="3" t="s">
        <v>69</v>
      </c>
      <c r="AH25" s="3" t="s">
        <v>446</v>
      </c>
      <c r="AI25" s="3" t="s">
        <v>447</v>
      </c>
      <c r="AJ25" s="3" t="s">
        <v>69</v>
      </c>
      <c r="AK25" s="3" t="s">
        <v>69</v>
      </c>
      <c r="AL25" s="3" t="s">
        <v>448</v>
      </c>
      <c r="AM25" s="3" t="s">
        <v>69</v>
      </c>
      <c r="AN25" s="3" t="s">
        <v>69</v>
      </c>
      <c r="AO25" s="3" t="s">
        <v>69</v>
      </c>
      <c r="AP25" s="3" t="s">
        <v>437</v>
      </c>
      <c r="AQ25" s="3" t="s">
        <v>449</v>
      </c>
      <c r="AR25" s="3" t="s">
        <v>85</v>
      </c>
      <c r="AS25" s="3" t="s">
        <v>86</v>
      </c>
      <c r="AT25" s="3" t="s">
        <v>450</v>
      </c>
      <c r="AU25" s="3" t="s">
        <v>451</v>
      </c>
      <c r="AV25" s="3" t="s">
        <v>69</v>
      </c>
      <c r="AW25" s="3" t="s">
        <v>452</v>
      </c>
      <c r="AX25" s="3" t="s">
        <v>69</v>
      </c>
      <c r="AY25" s="3" t="s">
        <v>90</v>
      </c>
      <c r="AZ25" s="8" t="s">
        <v>69</v>
      </c>
      <c r="BA25" s="3" t="s">
        <v>453</v>
      </c>
      <c r="BB25" s="3" t="s">
        <v>92</v>
      </c>
      <c r="BC25" s="3" t="s">
        <v>454</v>
      </c>
      <c r="BD25" s="12" t="str">
        <f>HYPERLINK("http://www.vpd.com.tw","www.vpd.com.tw")</f>
        <v>www.vpd.com.tw</v>
      </c>
      <c r="BE25" s="3" t="s">
        <v>69</v>
      </c>
      <c r="BF25" s="9">
        <v>203</v>
      </c>
      <c r="BG25" s="3" t="s">
        <v>455</v>
      </c>
      <c r="BH25" s="3" t="s">
        <v>69</v>
      </c>
      <c r="BI25" s="3" t="s">
        <v>69</v>
      </c>
      <c r="BJ25" s="10" t="s">
        <v>69</v>
      </c>
      <c r="BK25" s="3" t="s">
        <v>69</v>
      </c>
      <c r="BL25" s="1">
        <v>43351</v>
      </c>
      <c r="BM25" s="3" t="s">
        <v>69</v>
      </c>
      <c r="BN25" s="3" t="s">
        <v>69</v>
      </c>
      <c r="BO25" s="12" t="str">
        <f>HYPERLINK("https://my.pitchbook.com?c=162877-15","View Company Online")</f>
        <v>View Company Online</v>
      </c>
    </row>
    <row r="26" spans="1:67" x14ac:dyDescent="0.3">
      <c r="A26" s="13" t="s">
        <v>456</v>
      </c>
      <c r="B26" s="13" t="s">
        <v>457</v>
      </c>
      <c r="C26" s="13" t="s">
        <v>69</v>
      </c>
      <c r="D26" s="21" t="s">
        <v>69</v>
      </c>
      <c r="E26" s="13" t="s">
        <v>69</v>
      </c>
      <c r="F26" s="13" t="s">
        <v>69</v>
      </c>
      <c r="G26" s="13" t="s">
        <v>69</v>
      </c>
      <c r="H26" s="13" t="s">
        <v>69</v>
      </c>
      <c r="I26" s="19">
        <v>18.3</v>
      </c>
      <c r="J26" s="20">
        <v>-12.82</v>
      </c>
      <c r="K26" s="19">
        <v>3.67</v>
      </c>
      <c r="L26" s="19">
        <v>0.74</v>
      </c>
      <c r="M26" s="19" t="s">
        <v>69</v>
      </c>
      <c r="N26" s="19">
        <v>1.22</v>
      </c>
      <c r="O26" s="19">
        <v>0.94</v>
      </c>
      <c r="P26" s="19" t="s">
        <v>69</v>
      </c>
      <c r="Q26" s="19">
        <v>0</v>
      </c>
      <c r="R26" s="18" t="s">
        <v>70</v>
      </c>
      <c r="S26" s="13" t="s">
        <v>69</v>
      </c>
      <c r="T26" s="13" t="s">
        <v>69</v>
      </c>
      <c r="U26" s="13" t="s">
        <v>69</v>
      </c>
      <c r="V26" s="13" t="s">
        <v>69</v>
      </c>
      <c r="W26" s="13" t="s">
        <v>69</v>
      </c>
      <c r="X26" s="13" t="s">
        <v>458</v>
      </c>
      <c r="Y26" s="13" t="s">
        <v>459</v>
      </c>
      <c r="Z26" s="13" t="s">
        <v>69</v>
      </c>
      <c r="AA26" s="13" t="s">
        <v>460</v>
      </c>
      <c r="AB26" s="13" t="s">
        <v>222</v>
      </c>
      <c r="AC26" s="18" t="s">
        <v>461</v>
      </c>
      <c r="AD26" s="13" t="s">
        <v>162</v>
      </c>
      <c r="AE26" s="18" t="s">
        <v>69</v>
      </c>
      <c r="AF26" s="18" t="s">
        <v>69</v>
      </c>
      <c r="AG26" s="13" t="s">
        <v>69</v>
      </c>
      <c r="AH26" s="13" t="s">
        <v>78</v>
      </c>
      <c r="AI26" s="13" t="s">
        <v>132</v>
      </c>
      <c r="AJ26" s="13" t="s">
        <v>69</v>
      </c>
      <c r="AK26" s="13" t="s">
        <v>69</v>
      </c>
      <c r="AL26" s="13" t="s">
        <v>462</v>
      </c>
      <c r="AM26" s="13" t="s">
        <v>463</v>
      </c>
      <c r="AN26" s="13" t="s">
        <v>165</v>
      </c>
      <c r="AO26" s="13" t="s">
        <v>69</v>
      </c>
      <c r="AP26" s="13" t="s">
        <v>456</v>
      </c>
      <c r="AQ26" s="13" t="s">
        <v>464</v>
      </c>
      <c r="AR26" s="13" t="s">
        <v>185</v>
      </c>
      <c r="AS26" s="13" t="s">
        <v>186</v>
      </c>
      <c r="AT26" s="13" t="s">
        <v>187</v>
      </c>
      <c r="AU26" s="13" t="s">
        <v>188</v>
      </c>
      <c r="AV26" s="13" t="s">
        <v>69</v>
      </c>
      <c r="AW26" s="13" t="s">
        <v>69</v>
      </c>
      <c r="AX26" s="13" t="s">
        <v>69</v>
      </c>
      <c r="AY26" s="13" t="s">
        <v>90</v>
      </c>
      <c r="AZ26" s="17" t="s">
        <v>69</v>
      </c>
      <c r="BA26" s="13" t="s">
        <v>69</v>
      </c>
      <c r="BB26" s="13" t="s">
        <v>92</v>
      </c>
      <c r="BC26" s="13" t="s">
        <v>93</v>
      </c>
      <c r="BD26" s="11" t="str">
        <f>HYPERLINK("http://jhyoung.com","jhyoung.com")</f>
        <v>jhyoung.com</v>
      </c>
      <c r="BE26" s="13" t="s">
        <v>69</v>
      </c>
      <c r="BF26" s="16">
        <v>61</v>
      </c>
      <c r="BG26" s="13" t="s">
        <v>465</v>
      </c>
      <c r="BH26" s="13" t="s">
        <v>69</v>
      </c>
      <c r="BI26" s="13" t="s">
        <v>69</v>
      </c>
      <c r="BJ26" s="15">
        <v>2005</v>
      </c>
      <c r="BK26" s="13" t="s">
        <v>69</v>
      </c>
      <c r="BL26" s="14">
        <v>45384</v>
      </c>
      <c r="BM26" s="13" t="s">
        <v>69</v>
      </c>
      <c r="BN26" s="13" t="s">
        <v>69</v>
      </c>
      <c r="BO26" s="11" t="str">
        <f>HYPERLINK("https://my.pitchbook.com?c=586457-92","View Company Online")</f>
        <v>View Company Online</v>
      </c>
    </row>
    <row r="27" spans="1:67" x14ac:dyDescent="0.3">
      <c r="A27" s="3" t="s">
        <v>466</v>
      </c>
      <c r="B27" s="3" t="s">
        <v>467</v>
      </c>
      <c r="C27" s="3" t="s">
        <v>69</v>
      </c>
      <c r="D27" s="5" t="s">
        <v>69</v>
      </c>
      <c r="E27" s="3" t="s">
        <v>69</v>
      </c>
      <c r="F27" s="3" t="s">
        <v>69</v>
      </c>
      <c r="G27" s="3" t="s">
        <v>69</v>
      </c>
      <c r="H27" s="3" t="s">
        <v>69</v>
      </c>
      <c r="I27" s="4">
        <v>18.16</v>
      </c>
      <c r="J27" s="7">
        <v>8.43</v>
      </c>
      <c r="K27" s="4" t="s">
        <v>69</v>
      </c>
      <c r="L27" s="4">
        <v>1.7</v>
      </c>
      <c r="M27" s="4" t="s">
        <v>69</v>
      </c>
      <c r="N27" s="4">
        <v>3.03</v>
      </c>
      <c r="O27" s="4">
        <v>2.4700000000000002</v>
      </c>
      <c r="P27" s="4" t="s">
        <v>69</v>
      </c>
      <c r="Q27" s="4">
        <v>0</v>
      </c>
      <c r="R27" s="6" t="s">
        <v>70</v>
      </c>
      <c r="S27" s="3" t="s">
        <v>468</v>
      </c>
      <c r="T27" s="3" t="s">
        <v>469</v>
      </c>
      <c r="U27" s="3" t="s">
        <v>470</v>
      </c>
      <c r="V27" s="3" t="s">
        <v>69</v>
      </c>
      <c r="W27" s="3" t="s">
        <v>471</v>
      </c>
      <c r="X27" s="3" t="s">
        <v>472</v>
      </c>
      <c r="Y27" s="3" t="s">
        <v>473</v>
      </c>
      <c r="Z27" s="3" t="s">
        <v>69</v>
      </c>
      <c r="AA27" s="3" t="s">
        <v>474</v>
      </c>
      <c r="AB27" s="3" t="s">
        <v>69</v>
      </c>
      <c r="AC27" s="6" t="s">
        <v>475</v>
      </c>
      <c r="AD27" s="3" t="s">
        <v>75</v>
      </c>
      <c r="AE27" s="6" t="s">
        <v>471</v>
      </c>
      <c r="AF27" s="6" t="s">
        <v>476</v>
      </c>
      <c r="AG27" s="3" t="s">
        <v>477</v>
      </c>
      <c r="AH27" s="3" t="s">
        <v>78</v>
      </c>
      <c r="AI27" s="3" t="s">
        <v>79</v>
      </c>
      <c r="AJ27" s="3" t="s">
        <v>69</v>
      </c>
      <c r="AK27" s="3" t="s">
        <v>69</v>
      </c>
      <c r="AL27" s="3" t="s">
        <v>478</v>
      </c>
      <c r="AM27" s="3" t="s">
        <v>479</v>
      </c>
      <c r="AN27" s="3" t="s">
        <v>83</v>
      </c>
      <c r="AO27" s="3" t="s">
        <v>69</v>
      </c>
      <c r="AP27" s="3" t="s">
        <v>466</v>
      </c>
      <c r="AQ27" s="3" t="s">
        <v>480</v>
      </c>
      <c r="AR27" s="3" t="s">
        <v>185</v>
      </c>
      <c r="AS27" s="3" t="s">
        <v>348</v>
      </c>
      <c r="AT27" s="3" t="s">
        <v>481</v>
      </c>
      <c r="AU27" s="3" t="s">
        <v>482</v>
      </c>
      <c r="AV27" s="3" t="s">
        <v>69</v>
      </c>
      <c r="AW27" s="3" t="s">
        <v>483</v>
      </c>
      <c r="AX27" s="3" t="s">
        <v>69</v>
      </c>
      <c r="AY27" s="3" t="s">
        <v>90</v>
      </c>
      <c r="AZ27" s="8" t="s">
        <v>69</v>
      </c>
      <c r="BA27" s="3" t="s">
        <v>91</v>
      </c>
      <c r="BB27" s="3" t="s">
        <v>92</v>
      </c>
      <c r="BC27" s="3" t="s">
        <v>93</v>
      </c>
      <c r="BD27" s="12" t="str">
        <f>HYPERLINK("http://globovigilanza.it","globovigilanza.it")</f>
        <v>globovigilanza.it</v>
      </c>
      <c r="BE27" s="3" t="s">
        <v>69</v>
      </c>
      <c r="BF27" s="9">
        <v>374</v>
      </c>
      <c r="BG27" s="3" t="s">
        <v>484</v>
      </c>
      <c r="BH27" s="3" t="s">
        <v>69</v>
      </c>
      <c r="BI27" s="3" t="s">
        <v>69</v>
      </c>
      <c r="BJ27" s="10">
        <v>1988</v>
      </c>
      <c r="BK27" s="3" t="s">
        <v>69</v>
      </c>
      <c r="BL27" s="1">
        <v>45734</v>
      </c>
      <c r="BM27" s="3" t="s">
        <v>69</v>
      </c>
      <c r="BN27" s="3" t="s">
        <v>69</v>
      </c>
      <c r="BO27" s="12" t="str">
        <f>HYPERLINK("https://my.pitchbook.com?c=455157-91","View Company Online")</f>
        <v>View Company Online</v>
      </c>
    </row>
    <row r="28" spans="1:67" x14ac:dyDescent="0.3">
      <c r="A28" s="13" t="s">
        <v>485</v>
      </c>
      <c r="B28" s="13" t="s">
        <v>486</v>
      </c>
      <c r="C28" s="13" t="s">
        <v>69</v>
      </c>
      <c r="D28" s="21" t="s">
        <v>69</v>
      </c>
      <c r="E28" s="13" t="s">
        <v>69</v>
      </c>
      <c r="F28" s="13" t="s">
        <v>69</v>
      </c>
      <c r="G28" s="13" t="s">
        <v>69</v>
      </c>
      <c r="H28" s="13" t="s">
        <v>69</v>
      </c>
      <c r="I28" s="19">
        <v>17.05</v>
      </c>
      <c r="J28" s="20">
        <v>24.32</v>
      </c>
      <c r="K28" s="19" t="s">
        <v>69</v>
      </c>
      <c r="L28" s="19">
        <v>-2.34</v>
      </c>
      <c r="M28" s="19" t="s">
        <v>69</v>
      </c>
      <c r="N28" s="19" t="s">
        <v>69</v>
      </c>
      <c r="O28" s="19" t="s">
        <v>69</v>
      </c>
      <c r="P28" s="19" t="s">
        <v>69</v>
      </c>
      <c r="Q28" s="19" t="s">
        <v>69</v>
      </c>
      <c r="R28" s="18" t="s">
        <v>174</v>
      </c>
      <c r="S28" s="13" t="s">
        <v>487</v>
      </c>
      <c r="T28" s="13" t="s">
        <v>488</v>
      </c>
      <c r="U28" s="13" t="s">
        <v>489</v>
      </c>
      <c r="V28" s="13" t="s">
        <v>490</v>
      </c>
      <c r="W28" s="13" t="s">
        <v>491</v>
      </c>
      <c r="X28" s="13" t="s">
        <v>492</v>
      </c>
      <c r="Y28" s="13" t="s">
        <v>493</v>
      </c>
      <c r="Z28" s="13" t="s">
        <v>494</v>
      </c>
      <c r="AA28" s="13" t="s">
        <v>495</v>
      </c>
      <c r="AB28" s="13" t="s">
        <v>69</v>
      </c>
      <c r="AC28" s="18" t="s">
        <v>496</v>
      </c>
      <c r="AD28" s="13" t="s">
        <v>497</v>
      </c>
      <c r="AE28" s="18" t="s">
        <v>491</v>
      </c>
      <c r="AF28" s="18" t="s">
        <v>498</v>
      </c>
      <c r="AG28" s="13" t="s">
        <v>499</v>
      </c>
      <c r="AH28" s="13" t="s">
        <v>78</v>
      </c>
      <c r="AI28" s="13" t="s">
        <v>132</v>
      </c>
      <c r="AJ28" s="13" t="s">
        <v>69</v>
      </c>
      <c r="AK28" s="13" t="s">
        <v>69</v>
      </c>
      <c r="AL28" s="13" t="s">
        <v>500</v>
      </c>
      <c r="AM28" s="13" t="s">
        <v>69</v>
      </c>
      <c r="AN28" s="13" t="s">
        <v>69</v>
      </c>
      <c r="AO28" s="13" t="s">
        <v>501</v>
      </c>
      <c r="AP28" s="13" t="s">
        <v>485</v>
      </c>
      <c r="AQ28" s="13" t="s">
        <v>502</v>
      </c>
      <c r="AR28" s="13" t="s">
        <v>85</v>
      </c>
      <c r="AS28" s="13" t="s">
        <v>211</v>
      </c>
      <c r="AT28" s="13" t="s">
        <v>212</v>
      </c>
      <c r="AU28" s="13" t="s">
        <v>213</v>
      </c>
      <c r="AV28" s="13" t="s">
        <v>214</v>
      </c>
      <c r="AW28" s="13" t="s">
        <v>503</v>
      </c>
      <c r="AX28" s="13" t="s">
        <v>69</v>
      </c>
      <c r="AY28" s="13" t="s">
        <v>90</v>
      </c>
      <c r="AZ28" s="17" t="s">
        <v>69</v>
      </c>
      <c r="BA28" s="13" t="s">
        <v>91</v>
      </c>
      <c r="BB28" s="13" t="s">
        <v>92</v>
      </c>
      <c r="BC28" s="13" t="s">
        <v>93</v>
      </c>
      <c r="BD28" s="11" t="str">
        <f>HYPERLINK("http://www.chopard.com","www.chopard.com")</f>
        <v>www.chopard.com</v>
      </c>
      <c r="BE28" s="11" t="str">
        <f>HYPERLINK("http://www.linkedin.com/company/chopard","http://www.linkedin.com/company/chopard")</f>
        <v>http://www.linkedin.com/company/chopard</v>
      </c>
      <c r="BF28" s="16">
        <v>2400</v>
      </c>
      <c r="BG28" s="13" t="s">
        <v>504</v>
      </c>
      <c r="BH28" s="13" t="s">
        <v>69</v>
      </c>
      <c r="BI28" s="13" t="s">
        <v>69</v>
      </c>
      <c r="BJ28" s="15">
        <v>1859</v>
      </c>
      <c r="BK28" s="13" t="s">
        <v>69</v>
      </c>
      <c r="BL28" s="14">
        <v>45763</v>
      </c>
      <c r="BM28" s="13" t="s">
        <v>69</v>
      </c>
      <c r="BN28" s="13" t="s">
        <v>69</v>
      </c>
      <c r="BO28" s="11" t="str">
        <f>HYPERLINK("https://my.pitchbook.com?c=65344-60","View Company Online")</f>
        <v>View Company Online</v>
      </c>
    </row>
    <row r="29" spans="1:67" x14ac:dyDescent="0.3">
      <c r="A29" s="3" t="s">
        <v>505</v>
      </c>
      <c r="B29" s="3" t="s">
        <v>506</v>
      </c>
      <c r="C29" s="3" t="s">
        <v>69</v>
      </c>
      <c r="D29" s="5" t="s">
        <v>69</v>
      </c>
      <c r="E29" s="3" t="s">
        <v>69</v>
      </c>
      <c r="F29" s="3" t="s">
        <v>69</v>
      </c>
      <c r="G29" s="3" t="s">
        <v>69</v>
      </c>
      <c r="H29" s="3" t="s">
        <v>69</v>
      </c>
      <c r="I29" s="4">
        <v>16.5</v>
      </c>
      <c r="J29" s="7">
        <v>17.86</v>
      </c>
      <c r="K29" s="4" t="s">
        <v>69</v>
      </c>
      <c r="L29" s="4" t="s">
        <v>69</v>
      </c>
      <c r="M29" s="4" t="s">
        <v>69</v>
      </c>
      <c r="N29" s="4" t="s">
        <v>69</v>
      </c>
      <c r="O29" s="4" t="s">
        <v>69</v>
      </c>
      <c r="P29" s="4" t="s">
        <v>69</v>
      </c>
      <c r="Q29" s="4" t="s">
        <v>69</v>
      </c>
      <c r="R29" s="6" t="s">
        <v>306</v>
      </c>
      <c r="S29" s="3" t="s">
        <v>507</v>
      </c>
      <c r="T29" s="3" t="s">
        <v>508</v>
      </c>
      <c r="U29" s="3" t="s">
        <v>370</v>
      </c>
      <c r="V29" s="3" t="s">
        <v>509</v>
      </c>
      <c r="W29" s="3" t="s">
        <v>510</v>
      </c>
      <c r="X29" s="3" t="s">
        <v>511</v>
      </c>
      <c r="Y29" s="3" t="s">
        <v>512</v>
      </c>
      <c r="Z29" s="3" t="s">
        <v>69</v>
      </c>
      <c r="AA29" s="3" t="s">
        <v>513</v>
      </c>
      <c r="AB29" s="3" t="s">
        <v>514</v>
      </c>
      <c r="AC29" s="6" t="s">
        <v>515</v>
      </c>
      <c r="AD29" s="3" t="s">
        <v>378</v>
      </c>
      <c r="AE29" s="6" t="s">
        <v>510</v>
      </c>
      <c r="AF29" s="6" t="s">
        <v>69</v>
      </c>
      <c r="AG29" s="3" t="s">
        <v>69</v>
      </c>
      <c r="AH29" s="3" t="s">
        <v>379</v>
      </c>
      <c r="AI29" s="3" t="s">
        <v>380</v>
      </c>
      <c r="AJ29" s="3" t="s">
        <v>69</v>
      </c>
      <c r="AK29" s="3" t="s">
        <v>69</v>
      </c>
      <c r="AL29" s="3" t="s">
        <v>516</v>
      </c>
      <c r="AM29" s="3" t="s">
        <v>69</v>
      </c>
      <c r="AN29" s="3" t="s">
        <v>69</v>
      </c>
      <c r="AO29" s="3" t="s">
        <v>517</v>
      </c>
      <c r="AP29" s="3" t="s">
        <v>505</v>
      </c>
      <c r="AQ29" s="3" t="s">
        <v>518</v>
      </c>
      <c r="AR29" s="3" t="s">
        <v>85</v>
      </c>
      <c r="AS29" s="3" t="s">
        <v>211</v>
      </c>
      <c r="AT29" s="3" t="s">
        <v>212</v>
      </c>
      <c r="AU29" s="3" t="s">
        <v>519</v>
      </c>
      <c r="AV29" s="3" t="s">
        <v>214</v>
      </c>
      <c r="AW29" s="3" t="s">
        <v>520</v>
      </c>
      <c r="AX29" s="3" t="s">
        <v>69</v>
      </c>
      <c r="AY29" s="3" t="s">
        <v>90</v>
      </c>
      <c r="AZ29" s="8" t="s">
        <v>69</v>
      </c>
      <c r="BA29" s="3" t="s">
        <v>91</v>
      </c>
      <c r="BB29" s="3" t="s">
        <v>92</v>
      </c>
      <c r="BC29" s="3" t="s">
        <v>521</v>
      </c>
      <c r="BD29" s="12" t="str">
        <f>HYPERLINK("http://www.ninelineapparel.com","www.ninelineapparel.com")</f>
        <v>www.ninelineapparel.com</v>
      </c>
      <c r="BE29" s="12" t="str">
        <f>HYPERLINK("http://www.linkedin.com/company/ninelineapparel","http://www.linkedin.com/company/ninelineapparel")</f>
        <v>http://www.linkedin.com/company/ninelineapparel</v>
      </c>
      <c r="BF29" s="9">
        <v>123</v>
      </c>
      <c r="BG29" s="3" t="s">
        <v>522</v>
      </c>
      <c r="BH29" s="3" t="s">
        <v>69</v>
      </c>
      <c r="BI29" s="3" t="s">
        <v>69</v>
      </c>
      <c r="BJ29" s="10">
        <v>2012</v>
      </c>
      <c r="BK29" s="3" t="s">
        <v>69</v>
      </c>
      <c r="BL29" s="1">
        <v>45687</v>
      </c>
      <c r="BM29" s="3" t="s">
        <v>69</v>
      </c>
      <c r="BN29" s="3" t="s">
        <v>69</v>
      </c>
      <c r="BO29" s="12" t="str">
        <f>HYPERLINK("https://my.pitchbook.com?c=235229-68","View Company Online")</f>
        <v>View Company Online</v>
      </c>
    </row>
    <row r="30" spans="1:67" x14ac:dyDescent="0.3">
      <c r="A30" s="13" t="s">
        <v>523</v>
      </c>
      <c r="B30" s="13" t="s">
        <v>524</v>
      </c>
      <c r="C30" s="13" t="s">
        <v>69</v>
      </c>
      <c r="D30" s="21" t="s">
        <v>69</v>
      </c>
      <c r="E30" s="13" t="s">
        <v>69</v>
      </c>
      <c r="F30" s="13" t="s">
        <v>69</v>
      </c>
      <c r="G30" s="13" t="s">
        <v>69</v>
      </c>
      <c r="H30" s="13" t="s">
        <v>69</v>
      </c>
      <c r="I30" s="19">
        <v>15.97</v>
      </c>
      <c r="J30" s="20">
        <v>-1.1100000000000001</v>
      </c>
      <c r="K30" s="19" t="s">
        <v>69</v>
      </c>
      <c r="L30" s="19">
        <v>1.98</v>
      </c>
      <c r="M30" s="19" t="s">
        <v>69</v>
      </c>
      <c r="N30" s="19">
        <v>2.4500000000000002</v>
      </c>
      <c r="O30" s="19">
        <v>2.4500000000000002</v>
      </c>
      <c r="P30" s="19" t="s">
        <v>69</v>
      </c>
      <c r="Q30" s="19">
        <v>0</v>
      </c>
      <c r="R30" s="18" t="s">
        <v>156</v>
      </c>
      <c r="S30" s="13" t="s">
        <v>69</v>
      </c>
      <c r="T30" s="13" t="s">
        <v>69</v>
      </c>
      <c r="U30" s="13" t="s">
        <v>69</v>
      </c>
      <c r="V30" s="13" t="s">
        <v>69</v>
      </c>
      <c r="W30" s="13" t="s">
        <v>69</v>
      </c>
      <c r="X30" s="13" t="s">
        <v>525</v>
      </c>
      <c r="Y30" s="13" t="s">
        <v>526</v>
      </c>
      <c r="Z30" s="13" t="s">
        <v>69</v>
      </c>
      <c r="AA30" s="13" t="s">
        <v>527</v>
      </c>
      <c r="AB30" s="13" t="s">
        <v>528</v>
      </c>
      <c r="AC30" s="18" t="s">
        <v>529</v>
      </c>
      <c r="AD30" s="13" t="s">
        <v>530</v>
      </c>
      <c r="AE30" s="18" t="s">
        <v>69</v>
      </c>
      <c r="AF30" s="18" t="s">
        <v>69</v>
      </c>
      <c r="AG30" s="13" t="s">
        <v>69</v>
      </c>
      <c r="AH30" s="13" t="s">
        <v>78</v>
      </c>
      <c r="AI30" s="13" t="s">
        <v>132</v>
      </c>
      <c r="AJ30" s="13" t="s">
        <v>531</v>
      </c>
      <c r="AK30" s="13" t="s">
        <v>69</v>
      </c>
      <c r="AL30" s="13" t="s">
        <v>69</v>
      </c>
      <c r="AM30" s="13" t="s">
        <v>532</v>
      </c>
      <c r="AN30" s="13" t="s">
        <v>533</v>
      </c>
      <c r="AO30" s="13" t="s">
        <v>69</v>
      </c>
      <c r="AP30" s="13" t="s">
        <v>523</v>
      </c>
      <c r="AQ30" s="13" t="s">
        <v>534</v>
      </c>
      <c r="AR30" s="13" t="s">
        <v>185</v>
      </c>
      <c r="AS30" s="13" t="s">
        <v>186</v>
      </c>
      <c r="AT30" s="13" t="s">
        <v>187</v>
      </c>
      <c r="AU30" s="13" t="s">
        <v>188</v>
      </c>
      <c r="AV30" s="13" t="s">
        <v>69</v>
      </c>
      <c r="AW30" s="13" t="s">
        <v>69</v>
      </c>
      <c r="AX30" s="13" t="s">
        <v>69</v>
      </c>
      <c r="AY30" s="13" t="s">
        <v>90</v>
      </c>
      <c r="AZ30" s="17" t="s">
        <v>69</v>
      </c>
      <c r="BA30" s="13" t="s">
        <v>69</v>
      </c>
      <c r="BB30" s="13" t="s">
        <v>92</v>
      </c>
      <c r="BC30" s="13" t="s">
        <v>93</v>
      </c>
      <c r="BD30" s="11" t="str">
        <f>HYPERLINK("http://www.jacques-lemans.com","www.jacques-lemans.com")</f>
        <v>www.jacques-lemans.com</v>
      </c>
      <c r="BE30" s="13" t="s">
        <v>69</v>
      </c>
      <c r="BF30" s="16">
        <v>83</v>
      </c>
      <c r="BG30" s="13" t="s">
        <v>535</v>
      </c>
      <c r="BH30" s="13" t="s">
        <v>69</v>
      </c>
      <c r="BI30" s="13" t="s">
        <v>69</v>
      </c>
      <c r="BJ30" s="15">
        <v>1980</v>
      </c>
      <c r="BK30" s="13" t="s">
        <v>69</v>
      </c>
      <c r="BL30" s="14">
        <v>45648</v>
      </c>
      <c r="BM30" s="13" t="s">
        <v>69</v>
      </c>
      <c r="BN30" s="13" t="s">
        <v>69</v>
      </c>
      <c r="BO30" s="11" t="str">
        <f>HYPERLINK("https://my.pitchbook.com?c=524797-21","View Company Online")</f>
        <v>View Company Online</v>
      </c>
    </row>
    <row r="31" spans="1:67" x14ac:dyDescent="0.3">
      <c r="A31" s="3" t="s">
        <v>536</v>
      </c>
      <c r="B31" s="3" t="s">
        <v>537</v>
      </c>
      <c r="C31" s="3" t="s">
        <v>69</v>
      </c>
      <c r="D31" s="5" t="s">
        <v>69</v>
      </c>
      <c r="E31" s="3" t="s">
        <v>69</v>
      </c>
      <c r="F31" s="3" t="s">
        <v>69</v>
      </c>
      <c r="G31" s="3" t="s">
        <v>69</v>
      </c>
      <c r="H31" s="3" t="s">
        <v>69</v>
      </c>
      <c r="I31" s="4">
        <v>15.83</v>
      </c>
      <c r="J31" s="7">
        <v>-21.23</v>
      </c>
      <c r="K31" s="4">
        <v>6.58</v>
      </c>
      <c r="L31" s="4">
        <v>-1.08</v>
      </c>
      <c r="M31" s="4" t="s">
        <v>69</v>
      </c>
      <c r="N31" s="4">
        <v>-0.46</v>
      </c>
      <c r="O31" s="4">
        <v>-1.1000000000000001</v>
      </c>
      <c r="P31" s="4" t="s">
        <v>69</v>
      </c>
      <c r="Q31" s="4">
        <v>2.7</v>
      </c>
      <c r="R31" s="6" t="s">
        <v>156</v>
      </c>
      <c r="S31" s="3" t="s">
        <v>69</v>
      </c>
      <c r="T31" s="3" t="s">
        <v>69</v>
      </c>
      <c r="U31" s="3" t="s">
        <v>69</v>
      </c>
      <c r="V31" s="3" t="s">
        <v>69</v>
      </c>
      <c r="W31" s="3" t="s">
        <v>69</v>
      </c>
      <c r="X31" s="3" t="s">
        <v>538</v>
      </c>
      <c r="Y31" s="3" t="s">
        <v>539</v>
      </c>
      <c r="Z31" s="3" t="s">
        <v>69</v>
      </c>
      <c r="AA31" s="3" t="s">
        <v>540</v>
      </c>
      <c r="AB31" s="3" t="s">
        <v>541</v>
      </c>
      <c r="AC31" s="6" t="s">
        <v>542</v>
      </c>
      <c r="AD31" s="3" t="s">
        <v>162</v>
      </c>
      <c r="AE31" s="6" t="s">
        <v>69</v>
      </c>
      <c r="AF31" s="6" t="s">
        <v>69</v>
      </c>
      <c r="AG31" s="3" t="s">
        <v>69</v>
      </c>
      <c r="AH31" s="3" t="s">
        <v>78</v>
      </c>
      <c r="AI31" s="3" t="s">
        <v>132</v>
      </c>
      <c r="AJ31" s="3" t="s">
        <v>69</v>
      </c>
      <c r="AK31" s="3" t="s">
        <v>69</v>
      </c>
      <c r="AL31" s="3" t="s">
        <v>543</v>
      </c>
      <c r="AM31" s="3" t="s">
        <v>544</v>
      </c>
      <c r="AN31" s="3" t="s">
        <v>165</v>
      </c>
      <c r="AO31" s="3" t="s">
        <v>69</v>
      </c>
      <c r="AP31" s="3" t="s">
        <v>536</v>
      </c>
      <c r="AQ31" s="3" t="s">
        <v>545</v>
      </c>
      <c r="AR31" s="3" t="s">
        <v>85</v>
      </c>
      <c r="AS31" s="3" t="s">
        <v>86</v>
      </c>
      <c r="AT31" s="3" t="s">
        <v>87</v>
      </c>
      <c r="AU31" s="3" t="s">
        <v>112</v>
      </c>
      <c r="AV31" s="3" t="s">
        <v>69</v>
      </c>
      <c r="AW31" s="3" t="s">
        <v>69</v>
      </c>
      <c r="AX31" s="3" t="s">
        <v>69</v>
      </c>
      <c r="AY31" s="3" t="s">
        <v>90</v>
      </c>
      <c r="AZ31" s="8" t="s">
        <v>69</v>
      </c>
      <c r="BA31" s="3" t="s">
        <v>69</v>
      </c>
      <c r="BB31" s="3" t="s">
        <v>92</v>
      </c>
      <c r="BC31" s="3" t="s">
        <v>93</v>
      </c>
      <c r="BD31" s="12" t="str">
        <f>HYPERLINK("http://rox.co.uk","rox.co.uk")</f>
        <v>rox.co.uk</v>
      </c>
      <c r="BE31" s="3" t="s">
        <v>69</v>
      </c>
      <c r="BF31" s="9">
        <v>76</v>
      </c>
      <c r="BG31" s="3" t="s">
        <v>546</v>
      </c>
      <c r="BH31" s="3" t="s">
        <v>69</v>
      </c>
      <c r="BI31" s="3" t="s">
        <v>69</v>
      </c>
      <c r="BJ31" s="10">
        <v>2001</v>
      </c>
      <c r="BK31" s="3" t="s">
        <v>547</v>
      </c>
      <c r="BL31" s="1">
        <v>45753</v>
      </c>
      <c r="BM31" s="3" t="s">
        <v>69</v>
      </c>
      <c r="BN31" s="3" t="s">
        <v>69</v>
      </c>
      <c r="BO31" s="12" t="str">
        <f>HYPERLINK("https://my.pitchbook.com?c=577427-59","View Company Online")</f>
        <v>View Company Online</v>
      </c>
    </row>
    <row r="32" spans="1:67" x14ac:dyDescent="0.3">
      <c r="A32" s="13" t="s">
        <v>548</v>
      </c>
      <c r="B32" s="13" t="s">
        <v>549</v>
      </c>
      <c r="C32" s="13" t="s">
        <v>69</v>
      </c>
      <c r="D32" s="21" t="s">
        <v>69</v>
      </c>
      <c r="E32" s="13" t="s">
        <v>69</v>
      </c>
      <c r="F32" s="13" t="s">
        <v>69</v>
      </c>
      <c r="G32" s="13" t="s">
        <v>69</v>
      </c>
      <c r="H32" s="13" t="s">
        <v>69</v>
      </c>
      <c r="I32" s="19">
        <v>14.62</v>
      </c>
      <c r="J32" s="20">
        <v>12.71</v>
      </c>
      <c r="K32" s="19" t="s">
        <v>69</v>
      </c>
      <c r="L32" s="19">
        <v>1.0900000000000001</v>
      </c>
      <c r="M32" s="19" t="s">
        <v>69</v>
      </c>
      <c r="N32" s="19">
        <v>1.91</v>
      </c>
      <c r="O32" s="19">
        <v>1.8</v>
      </c>
      <c r="P32" s="19" t="s">
        <v>69</v>
      </c>
      <c r="Q32" s="19">
        <v>4.16</v>
      </c>
      <c r="R32" s="18" t="s">
        <v>70</v>
      </c>
      <c r="S32" s="13" t="s">
        <v>69</v>
      </c>
      <c r="T32" s="13" t="s">
        <v>69</v>
      </c>
      <c r="U32" s="13" t="s">
        <v>69</v>
      </c>
      <c r="V32" s="13" t="s">
        <v>69</v>
      </c>
      <c r="W32" s="13" t="s">
        <v>69</v>
      </c>
      <c r="X32" s="13" t="s">
        <v>550</v>
      </c>
      <c r="Y32" s="13" t="s">
        <v>551</v>
      </c>
      <c r="Z32" s="13" t="s">
        <v>69</v>
      </c>
      <c r="AA32" s="13" t="s">
        <v>552</v>
      </c>
      <c r="AB32" s="13" t="s">
        <v>552</v>
      </c>
      <c r="AC32" s="18" t="s">
        <v>553</v>
      </c>
      <c r="AD32" s="13" t="s">
        <v>75</v>
      </c>
      <c r="AE32" s="18" t="s">
        <v>69</v>
      </c>
      <c r="AF32" s="18" t="s">
        <v>69</v>
      </c>
      <c r="AG32" s="13" t="s">
        <v>554</v>
      </c>
      <c r="AH32" s="13" t="s">
        <v>78</v>
      </c>
      <c r="AI32" s="13" t="s">
        <v>79</v>
      </c>
      <c r="AJ32" s="13" t="s">
        <v>69</v>
      </c>
      <c r="AK32" s="13" t="s">
        <v>69</v>
      </c>
      <c r="AL32" s="13" t="s">
        <v>555</v>
      </c>
      <c r="AM32" s="13" t="s">
        <v>556</v>
      </c>
      <c r="AN32" s="13" t="s">
        <v>83</v>
      </c>
      <c r="AO32" s="13" t="s">
        <v>69</v>
      </c>
      <c r="AP32" s="13" t="s">
        <v>548</v>
      </c>
      <c r="AQ32" s="13" t="s">
        <v>557</v>
      </c>
      <c r="AR32" s="13" t="s">
        <v>85</v>
      </c>
      <c r="AS32" s="13" t="s">
        <v>86</v>
      </c>
      <c r="AT32" s="13" t="s">
        <v>87</v>
      </c>
      <c r="AU32" s="13" t="s">
        <v>112</v>
      </c>
      <c r="AV32" s="13" t="s">
        <v>69</v>
      </c>
      <c r="AW32" s="13" t="s">
        <v>69</v>
      </c>
      <c r="AX32" s="13" t="s">
        <v>69</v>
      </c>
      <c r="AY32" s="13" t="s">
        <v>90</v>
      </c>
      <c r="AZ32" s="17" t="s">
        <v>69</v>
      </c>
      <c r="BA32" s="13" t="s">
        <v>69</v>
      </c>
      <c r="BB32" s="13" t="s">
        <v>92</v>
      </c>
      <c r="BC32" s="13" t="s">
        <v>93</v>
      </c>
      <c r="BD32" s="11" t="str">
        <f>HYPERLINK("http://scintilleshop.com","scintilleshop.com")</f>
        <v>scintilleshop.com</v>
      </c>
      <c r="BE32" s="13" t="s">
        <v>69</v>
      </c>
      <c r="BF32" s="16">
        <v>77</v>
      </c>
      <c r="BG32" s="13" t="s">
        <v>558</v>
      </c>
      <c r="BH32" s="13" t="s">
        <v>69</v>
      </c>
      <c r="BI32" s="13" t="s">
        <v>69</v>
      </c>
      <c r="BJ32" s="15">
        <v>1990</v>
      </c>
      <c r="BK32" s="13" t="s">
        <v>69</v>
      </c>
      <c r="BL32" s="14">
        <v>45744</v>
      </c>
      <c r="BM32" s="13" t="s">
        <v>69</v>
      </c>
      <c r="BN32" s="13" t="s">
        <v>69</v>
      </c>
      <c r="BO32" s="11" t="str">
        <f>HYPERLINK("https://my.pitchbook.com?c=419286-79","View Company Online")</f>
        <v>View Company Online</v>
      </c>
    </row>
    <row r="33" spans="1:67" x14ac:dyDescent="0.3">
      <c r="A33" s="3" t="s">
        <v>559</v>
      </c>
      <c r="B33" s="3" t="s">
        <v>560</v>
      </c>
      <c r="C33" s="3" t="s">
        <v>69</v>
      </c>
      <c r="D33" s="5" t="s">
        <v>69</v>
      </c>
      <c r="E33" s="3" t="s">
        <v>69</v>
      </c>
      <c r="F33" s="3" t="s">
        <v>69</v>
      </c>
      <c r="G33" s="3" t="s">
        <v>69</v>
      </c>
      <c r="H33" s="3" t="s">
        <v>69</v>
      </c>
      <c r="I33" s="4">
        <v>13.74</v>
      </c>
      <c r="J33" s="7">
        <v>16.420000000000002</v>
      </c>
      <c r="K33" s="4">
        <v>5.13</v>
      </c>
      <c r="L33" s="4">
        <v>2.0299999999999998</v>
      </c>
      <c r="M33" s="4" t="s">
        <v>69</v>
      </c>
      <c r="N33" s="4" t="s">
        <v>69</v>
      </c>
      <c r="O33" s="4">
        <v>2.62</v>
      </c>
      <c r="P33" s="4" t="s">
        <v>69</v>
      </c>
      <c r="Q33" s="4">
        <v>0</v>
      </c>
      <c r="R33" s="6" t="s">
        <v>70</v>
      </c>
      <c r="S33" s="3" t="s">
        <v>69</v>
      </c>
      <c r="T33" s="3" t="s">
        <v>69</v>
      </c>
      <c r="U33" s="3" t="s">
        <v>69</v>
      </c>
      <c r="V33" s="3" t="s">
        <v>69</v>
      </c>
      <c r="W33" s="3" t="s">
        <v>69</v>
      </c>
      <c r="X33" s="3" t="s">
        <v>561</v>
      </c>
      <c r="Y33" s="3" t="s">
        <v>562</v>
      </c>
      <c r="Z33" s="3" t="s">
        <v>563</v>
      </c>
      <c r="AA33" s="3" t="s">
        <v>564</v>
      </c>
      <c r="AB33" s="3" t="s">
        <v>222</v>
      </c>
      <c r="AC33" s="6" t="s">
        <v>565</v>
      </c>
      <c r="AD33" s="3" t="s">
        <v>162</v>
      </c>
      <c r="AE33" s="6" t="s">
        <v>566</v>
      </c>
      <c r="AF33" s="6" t="s">
        <v>567</v>
      </c>
      <c r="AG33" s="3" t="s">
        <v>568</v>
      </c>
      <c r="AH33" s="3" t="s">
        <v>78</v>
      </c>
      <c r="AI33" s="3" t="s">
        <v>132</v>
      </c>
      <c r="AJ33" s="3" t="s">
        <v>69</v>
      </c>
      <c r="AK33" s="3" t="s">
        <v>69</v>
      </c>
      <c r="AL33" s="3" t="s">
        <v>569</v>
      </c>
      <c r="AM33" s="3" t="s">
        <v>570</v>
      </c>
      <c r="AN33" s="3" t="s">
        <v>165</v>
      </c>
      <c r="AO33" s="3" t="s">
        <v>69</v>
      </c>
      <c r="AP33" s="3" t="s">
        <v>559</v>
      </c>
      <c r="AQ33" s="3" t="s">
        <v>571</v>
      </c>
      <c r="AR33" s="3" t="s">
        <v>85</v>
      </c>
      <c r="AS33" s="3" t="s">
        <v>572</v>
      </c>
      <c r="AT33" s="3" t="s">
        <v>573</v>
      </c>
      <c r="AU33" s="3" t="s">
        <v>574</v>
      </c>
      <c r="AV33" s="3" t="s">
        <v>69</v>
      </c>
      <c r="AW33" s="3" t="s">
        <v>575</v>
      </c>
      <c r="AX33" s="3" t="s">
        <v>69</v>
      </c>
      <c r="AY33" s="3" t="s">
        <v>90</v>
      </c>
      <c r="AZ33" s="8" t="s">
        <v>69</v>
      </c>
      <c r="BA33" s="3" t="s">
        <v>69</v>
      </c>
      <c r="BB33" s="3" t="s">
        <v>92</v>
      </c>
      <c r="BC33" s="3" t="s">
        <v>93</v>
      </c>
      <c r="BD33" s="12" t="str">
        <f>HYPERLINK("http://hccoils.com","hccoils.com")</f>
        <v>hccoils.com</v>
      </c>
      <c r="BE33" s="12" t="str">
        <f>HYPERLINK("http://www.linkedin.com/company/3475910trk=tyah&amp;trkInfo=tas:hc coils","http://www.linkedin.com/company/3475910trk=tyah&amp;trkInfo=tas:hc coils")</f>
        <v>http://www.linkedin.com/company/3475910trk=tyah&amp;trkInfo=tas:hc coils</v>
      </c>
      <c r="BF33" s="9">
        <v>68</v>
      </c>
      <c r="BG33" s="3" t="s">
        <v>576</v>
      </c>
      <c r="BH33" s="3" t="s">
        <v>69</v>
      </c>
      <c r="BI33" s="3" t="s">
        <v>69</v>
      </c>
      <c r="BJ33" s="10">
        <v>1984</v>
      </c>
      <c r="BK33" s="3" t="s">
        <v>69</v>
      </c>
      <c r="BL33" s="1">
        <v>45633</v>
      </c>
      <c r="BM33" s="3" t="s">
        <v>69</v>
      </c>
      <c r="BN33" s="3" t="s">
        <v>69</v>
      </c>
      <c r="BO33" s="12" t="str">
        <f>HYPERLINK("https://my.pitchbook.com?c=134724-79","View Company Online")</f>
        <v>View Company Online</v>
      </c>
    </row>
    <row r="34" spans="1:67" x14ac:dyDescent="0.3">
      <c r="A34" s="13" t="s">
        <v>577</v>
      </c>
      <c r="B34" s="13" t="s">
        <v>578</v>
      </c>
      <c r="C34" s="13" t="s">
        <v>69</v>
      </c>
      <c r="D34" s="21" t="s">
        <v>69</v>
      </c>
      <c r="E34" s="13" t="s">
        <v>69</v>
      </c>
      <c r="F34" s="13" t="s">
        <v>69</v>
      </c>
      <c r="G34" s="13" t="s">
        <v>69</v>
      </c>
      <c r="H34" s="13" t="s">
        <v>69</v>
      </c>
      <c r="I34" s="19">
        <v>13.2</v>
      </c>
      <c r="J34" s="20" t="s">
        <v>69</v>
      </c>
      <c r="K34" s="19" t="s">
        <v>69</v>
      </c>
      <c r="L34" s="19" t="s">
        <v>69</v>
      </c>
      <c r="M34" s="19" t="s">
        <v>69</v>
      </c>
      <c r="N34" s="19" t="s">
        <v>69</v>
      </c>
      <c r="O34" s="19" t="s">
        <v>69</v>
      </c>
      <c r="P34" s="19" t="s">
        <v>69</v>
      </c>
      <c r="Q34" s="19" t="s">
        <v>69</v>
      </c>
      <c r="R34" s="18" t="s">
        <v>579</v>
      </c>
      <c r="S34" s="13" t="s">
        <v>580</v>
      </c>
      <c r="T34" s="13" t="s">
        <v>581</v>
      </c>
      <c r="U34" s="13" t="s">
        <v>582</v>
      </c>
      <c r="V34" s="13" t="s">
        <v>583</v>
      </c>
      <c r="W34" s="13" t="s">
        <v>69</v>
      </c>
      <c r="X34" s="13" t="s">
        <v>584</v>
      </c>
      <c r="Y34" s="13" t="s">
        <v>69</v>
      </c>
      <c r="Z34" s="13" t="s">
        <v>69</v>
      </c>
      <c r="AA34" s="13" t="s">
        <v>585</v>
      </c>
      <c r="AB34" s="13" t="s">
        <v>586</v>
      </c>
      <c r="AC34" s="18" t="s">
        <v>587</v>
      </c>
      <c r="AD34" s="13" t="s">
        <v>378</v>
      </c>
      <c r="AE34" s="18" t="s">
        <v>69</v>
      </c>
      <c r="AF34" s="18" t="s">
        <v>69</v>
      </c>
      <c r="AG34" s="13" t="s">
        <v>69</v>
      </c>
      <c r="AH34" s="13" t="s">
        <v>379</v>
      </c>
      <c r="AI34" s="13" t="s">
        <v>380</v>
      </c>
      <c r="AJ34" s="13" t="s">
        <v>69</v>
      </c>
      <c r="AK34" s="13" t="s">
        <v>69</v>
      </c>
      <c r="AL34" s="13" t="s">
        <v>588</v>
      </c>
      <c r="AM34" s="13" t="s">
        <v>69</v>
      </c>
      <c r="AN34" s="13" t="s">
        <v>69</v>
      </c>
      <c r="AO34" s="13" t="s">
        <v>69</v>
      </c>
      <c r="AP34" s="13" t="s">
        <v>577</v>
      </c>
      <c r="AQ34" s="13" t="s">
        <v>589</v>
      </c>
      <c r="AR34" s="13" t="s">
        <v>185</v>
      </c>
      <c r="AS34" s="13" t="s">
        <v>186</v>
      </c>
      <c r="AT34" s="13" t="s">
        <v>590</v>
      </c>
      <c r="AU34" s="13" t="s">
        <v>591</v>
      </c>
      <c r="AV34" s="13" t="s">
        <v>69</v>
      </c>
      <c r="AW34" s="13" t="s">
        <v>592</v>
      </c>
      <c r="AX34" s="13" t="s">
        <v>69</v>
      </c>
      <c r="AY34" s="13" t="s">
        <v>90</v>
      </c>
      <c r="AZ34" s="17" t="s">
        <v>69</v>
      </c>
      <c r="BA34" s="13" t="s">
        <v>69</v>
      </c>
      <c r="BB34" s="13" t="s">
        <v>92</v>
      </c>
      <c r="BC34" s="13" t="s">
        <v>93</v>
      </c>
      <c r="BD34" s="11" t="str">
        <f>HYPERLINK("http://timeaftertimewatches.com","timeaftertimewatches.com")</f>
        <v>timeaftertimewatches.com</v>
      </c>
      <c r="BE34" s="11" t="str">
        <f>HYPERLINK("http://www.linkedin.com/company/time-after-time-inc","http://www.linkedin.com/company/time-after-time-inc")</f>
        <v>http://www.linkedin.com/company/time-after-time-inc</v>
      </c>
      <c r="BF34" s="16">
        <v>99</v>
      </c>
      <c r="BG34" s="13" t="s">
        <v>593</v>
      </c>
      <c r="BH34" s="13" t="s">
        <v>69</v>
      </c>
      <c r="BI34" s="13" t="s">
        <v>69</v>
      </c>
      <c r="BJ34" s="15">
        <v>1990</v>
      </c>
      <c r="BK34" s="13" t="s">
        <v>69</v>
      </c>
      <c r="BL34" s="14">
        <v>45138</v>
      </c>
      <c r="BM34" s="13" t="s">
        <v>69</v>
      </c>
      <c r="BN34" s="13" t="s">
        <v>69</v>
      </c>
      <c r="BO34" s="11" t="str">
        <f>HYPERLINK("https://my.pitchbook.com?c=134031-25","View Company Online")</f>
        <v>View Company Online</v>
      </c>
    </row>
    <row r="35" spans="1:67" x14ac:dyDescent="0.3">
      <c r="A35" s="3" t="s">
        <v>594</v>
      </c>
      <c r="B35" s="3" t="s">
        <v>595</v>
      </c>
      <c r="C35" s="3" t="s">
        <v>69</v>
      </c>
      <c r="D35" s="5" t="s">
        <v>69</v>
      </c>
      <c r="E35" s="3" t="s">
        <v>69</v>
      </c>
      <c r="F35" s="3" t="s">
        <v>69</v>
      </c>
      <c r="G35" s="3" t="s">
        <v>69</v>
      </c>
      <c r="H35" s="3" t="s">
        <v>69</v>
      </c>
      <c r="I35" s="4">
        <v>12.97</v>
      </c>
      <c r="J35" s="7">
        <v>4.63</v>
      </c>
      <c r="K35" s="4">
        <v>4.6900000000000004</v>
      </c>
      <c r="L35" s="4">
        <v>-7.0000000000000007E-2</v>
      </c>
      <c r="M35" s="4" t="s">
        <v>69</v>
      </c>
      <c r="N35" s="4">
        <v>0.21</v>
      </c>
      <c r="O35" s="4">
        <v>0.05</v>
      </c>
      <c r="P35" s="4" t="s">
        <v>69</v>
      </c>
      <c r="Q35" s="4">
        <v>2.75</v>
      </c>
      <c r="R35" s="6" t="s">
        <v>156</v>
      </c>
      <c r="S35" s="3" t="s">
        <v>69</v>
      </c>
      <c r="T35" s="3" t="s">
        <v>69</v>
      </c>
      <c r="U35" s="3" t="s">
        <v>69</v>
      </c>
      <c r="V35" s="3" t="s">
        <v>69</v>
      </c>
      <c r="W35" s="3" t="s">
        <v>69</v>
      </c>
      <c r="X35" s="3" t="s">
        <v>307</v>
      </c>
      <c r="Y35" s="3" t="s">
        <v>596</v>
      </c>
      <c r="Z35" s="3" t="s">
        <v>69</v>
      </c>
      <c r="AA35" s="3" t="s">
        <v>309</v>
      </c>
      <c r="AB35" s="3" t="s">
        <v>222</v>
      </c>
      <c r="AC35" s="6" t="s">
        <v>597</v>
      </c>
      <c r="AD35" s="3" t="s">
        <v>162</v>
      </c>
      <c r="AE35" s="6" t="s">
        <v>69</v>
      </c>
      <c r="AF35" s="6" t="s">
        <v>69</v>
      </c>
      <c r="AG35" s="3" t="s">
        <v>69</v>
      </c>
      <c r="AH35" s="3" t="s">
        <v>78</v>
      </c>
      <c r="AI35" s="3" t="s">
        <v>132</v>
      </c>
      <c r="AJ35" s="3" t="s">
        <v>598</v>
      </c>
      <c r="AK35" s="3" t="s">
        <v>69</v>
      </c>
      <c r="AL35" s="3" t="s">
        <v>599</v>
      </c>
      <c r="AM35" s="3" t="s">
        <v>600</v>
      </c>
      <c r="AN35" s="3" t="s">
        <v>165</v>
      </c>
      <c r="AO35" s="3" t="s">
        <v>69</v>
      </c>
      <c r="AP35" s="3" t="s">
        <v>594</v>
      </c>
      <c r="AQ35" s="3" t="s">
        <v>601</v>
      </c>
      <c r="AR35" s="3" t="s">
        <v>85</v>
      </c>
      <c r="AS35" s="3" t="s">
        <v>86</v>
      </c>
      <c r="AT35" s="3" t="s">
        <v>87</v>
      </c>
      <c r="AU35" s="3" t="s">
        <v>112</v>
      </c>
      <c r="AV35" s="3" t="s">
        <v>69</v>
      </c>
      <c r="AW35" s="3" t="s">
        <v>69</v>
      </c>
      <c r="AX35" s="3" t="s">
        <v>69</v>
      </c>
      <c r="AY35" s="3" t="s">
        <v>90</v>
      </c>
      <c r="AZ35" s="8" t="s">
        <v>69</v>
      </c>
      <c r="BA35" s="3" t="s">
        <v>69</v>
      </c>
      <c r="BB35" s="3" t="s">
        <v>92</v>
      </c>
      <c r="BC35" s="3" t="s">
        <v>93</v>
      </c>
      <c r="BD35" s="12" t="str">
        <f>HYPERLINK("http://fishpawnbrokers.co.uk","fishpawnbrokers.co.uk")</f>
        <v>fishpawnbrokers.co.uk</v>
      </c>
      <c r="BE35" s="3" t="s">
        <v>69</v>
      </c>
      <c r="BF35" s="9">
        <v>59</v>
      </c>
      <c r="BG35" s="3" t="s">
        <v>602</v>
      </c>
      <c r="BH35" s="3" t="s">
        <v>69</v>
      </c>
      <c r="BI35" s="3" t="s">
        <v>69</v>
      </c>
      <c r="BJ35" s="10">
        <v>1904</v>
      </c>
      <c r="BK35" s="3" t="s">
        <v>69</v>
      </c>
      <c r="BL35" s="1">
        <v>45384</v>
      </c>
      <c r="BM35" s="3" t="s">
        <v>69</v>
      </c>
      <c r="BN35" s="3" t="s">
        <v>69</v>
      </c>
      <c r="BO35" s="12" t="str">
        <f>HYPERLINK("https://my.pitchbook.com?c=574143-94","View Company Online")</f>
        <v>View Company Online</v>
      </c>
    </row>
    <row r="36" spans="1:67" x14ac:dyDescent="0.3">
      <c r="A36" s="13" t="s">
        <v>603</v>
      </c>
      <c r="B36" s="13" t="s">
        <v>604</v>
      </c>
      <c r="C36" s="13" t="s">
        <v>69</v>
      </c>
      <c r="D36" s="21">
        <v>1</v>
      </c>
      <c r="E36" s="13" t="s">
        <v>69</v>
      </c>
      <c r="F36" s="13" t="s">
        <v>605</v>
      </c>
      <c r="G36" s="13" t="s">
        <v>606</v>
      </c>
      <c r="H36" s="13" t="s">
        <v>607</v>
      </c>
      <c r="I36" s="19">
        <v>12</v>
      </c>
      <c r="J36" s="20">
        <v>18.190000000000001</v>
      </c>
      <c r="K36" s="19">
        <v>7.48</v>
      </c>
      <c r="L36" s="19">
        <v>0.05</v>
      </c>
      <c r="M36" s="19" t="s">
        <v>69</v>
      </c>
      <c r="N36" s="19">
        <v>0.96</v>
      </c>
      <c r="O36" s="19">
        <v>0.54</v>
      </c>
      <c r="P36" s="19" t="s">
        <v>69</v>
      </c>
      <c r="Q36" s="19">
        <v>6</v>
      </c>
      <c r="R36" s="18" t="s">
        <v>156</v>
      </c>
      <c r="S36" s="13" t="s">
        <v>608</v>
      </c>
      <c r="T36" s="13" t="s">
        <v>609</v>
      </c>
      <c r="U36" s="13" t="s">
        <v>610</v>
      </c>
      <c r="V36" s="13" t="s">
        <v>611</v>
      </c>
      <c r="W36" s="13" t="s">
        <v>612</v>
      </c>
      <c r="X36" s="13" t="s">
        <v>613</v>
      </c>
      <c r="Y36" s="13" t="s">
        <v>614</v>
      </c>
      <c r="Z36" s="13" t="s">
        <v>615</v>
      </c>
      <c r="AA36" s="13" t="s">
        <v>616</v>
      </c>
      <c r="AB36" s="13" t="s">
        <v>222</v>
      </c>
      <c r="AC36" s="18" t="s">
        <v>617</v>
      </c>
      <c r="AD36" s="13" t="s">
        <v>162</v>
      </c>
      <c r="AE36" s="18" t="s">
        <v>612</v>
      </c>
      <c r="AF36" s="18" t="s">
        <v>69</v>
      </c>
      <c r="AG36" s="13" t="s">
        <v>618</v>
      </c>
      <c r="AH36" s="13" t="s">
        <v>78</v>
      </c>
      <c r="AI36" s="13" t="s">
        <v>132</v>
      </c>
      <c r="AJ36" s="13" t="s">
        <v>69</v>
      </c>
      <c r="AK36" s="13" t="s">
        <v>619</v>
      </c>
      <c r="AL36" s="13" t="s">
        <v>620</v>
      </c>
      <c r="AM36" s="13" t="s">
        <v>621</v>
      </c>
      <c r="AN36" s="13" t="s">
        <v>165</v>
      </c>
      <c r="AO36" s="13" t="s">
        <v>69</v>
      </c>
      <c r="AP36" s="13" t="s">
        <v>603</v>
      </c>
      <c r="AQ36" s="13" t="s">
        <v>622</v>
      </c>
      <c r="AR36" s="13" t="s">
        <v>85</v>
      </c>
      <c r="AS36" s="13" t="s">
        <v>623</v>
      </c>
      <c r="AT36" s="13" t="s">
        <v>624</v>
      </c>
      <c r="AU36" s="13" t="s">
        <v>625</v>
      </c>
      <c r="AV36" s="13" t="s">
        <v>626</v>
      </c>
      <c r="AW36" s="13" t="s">
        <v>627</v>
      </c>
      <c r="AX36" s="13" t="s">
        <v>69</v>
      </c>
      <c r="AY36" s="13" t="s">
        <v>90</v>
      </c>
      <c r="AZ36" s="17" t="s">
        <v>69</v>
      </c>
      <c r="BA36" s="13" t="s">
        <v>91</v>
      </c>
      <c r="BB36" s="13" t="s">
        <v>92</v>
      </c>
      <c r="BC36" s="13" t="s">
        <v>93</v>
      </c>
      <c r="BD36" s="11" t="str">
        <f>HYPERLINK("http://www.merlincinemas.co.uk","www.merlincinemas.co.uk")</f>
        <v>www.merlincinemas.co.uk</v>
      </c>
      <c r="BE36" s="11" t="str">
        <f>HYPERLINK("http://www.linkedin.com/company/merlin-cinemas-ltd","http://www.linkedin.com/company/merlin-cinemas-ltd")</f>
        <v>http://www.linkedin.com/company/merlin-cinemas-ltd</v>
      </c>
      <c r="BF36" s="16">
        <v>287</v>
      </c>
      <c r="BG36" s="13" t="s">
        <v>628</v>
      </c>
      <c r="BH36" s="13" t="s">
        <v>69</v>
      </c>
      <c r="BI36" s="13" t="s">
        <v>69</v>
      </c>
      <c r="BJ36" s="15">
        <v>1998</v>
      </c>
      <c r="BK36" s="13" t="s">
        <v>69</v>
      </c>
      <c r="BL36" s="14">
        <v>44821</v>
      </c>
      <c r="BM36" s="13" t="s">
        <v>69</v>
      </c>
      <c r="BN36" s="13" t="s">
        <v>69</v>
      </c>
      <c r="BO36" s="11" t="str">
        <f>HYPERLINK("https://my.pitchbook.com?c=141120-28","View Company Online")</f>
        <v>View Company Online</v>
      </c>
    </row>
    <row r="37" spans="1:67" x14ac:dyDescent="0.3">
      <c r="A37" s="3" t="s">
        <v>629</v>
      </c>
      <c r="B37" s="3" t="s">
        <v>630</v>
      </c>
      <c r="C37" s="3" t="s">
        <v>69</v>
      </c>
      <c r="D37" s="5" t="s">
        <v>69</v>
      </c>
      <c r="E37" s="3" t="s">
        <v>69</v>
      </c>
      <c r="F37" s="3" t="s">
        <v>69</v>
      </c>
      <c r="G37" s="3" t="s">
        <v>69</v>
      </c>
      <c r="H37" s="3" t="s">
        <v>69</v>
      </c>
      <c r="I37" s="4">
        <v>11.56</v>
      </c>
      <c r="J37" s="7">
        <v>13.66</v>
      </c>
      <c r="K37" s="4" t="s">
        <v>69</v>
      </c>
      <c r="L37" s="4">
        <v>-0.19</v>
      </c>
      <c r="M37" s="4" t="s">
        <v>69</v>
      </c>
      <c r="N37" s="4">
        <v>0.15</v>
      </c>
      <c r="O37" s="4">
        <v>-0.12</v>
      </c>
      <c r="P37" s="4" t="s">
        <v>69</v>
      </c>
      <c r="Q37" s="4">
        <v>3.13</v>
      </c>
      <c r="R37" s="6" t="s">
        <v>70</v>
      </c>
      <c r="S37" s="3" t="s">
        <v>69</v>
      </c>
      <c r="T37" s="3" t="s">
        <v>69</v>
      </c>
      <c r="U37" s="3" t="s">
        <v>69</v>
      </c>
      <c r="V37" s="3" t="s">
        <v>69</v>
      </c>
      <c r="W37" s="3" t="s">
        <v>69</v>
      </c>
      <c r="X37" s="3" t="s">
        <v>631</v>
      </c>
      <c r="Y37" s="3" t="s">
        <v>632</v>
      </c>
      <c r="Z37" s="3" t="s">
        <v>633</v>
      </c>
      <c r="AA37" s="3" t="s">
        <v>634</v>
      </c>
      <c r="AB37" s="3" t="s">
        <v>635</v>
      </c>
      <c r="AC37" s="6" t="s">
        <v>636</v>
      </c>
      <c r="AD37" s="3" t="s">
        <v>295</v>
      </c>
      <c r="AE37" s="6" t="s">
        <v>69</v>
      </c>
      <c r="AF37" s="6" t="s">
        <v>69</v>
      </c>
      <c r="AG37" s="3" t="s">
        <v>69</v>
      </c>
      <c r="AH37" s="3" t="s">
        <v>78</v>
      </c>
      <c r="AI37" s="3" t="s">
        <v>132</v>
      </c>
      <c r="AJ37" s="3" t="s">
        <v>69</v>
      </c>
      <c r="AK37" s="3" t="s">
        <v>69</v>
      </c>
      <c r="AL37" s="3" t="s">
        <v>69</v>
      </c>
      <c r="AM37" s="3" t="s">
        <v>637</v>
      </c>
      <c r="AN37" s="3" t="s">
        <v>297</v>
      </c>
      <c r="AO37" s="3" t="s">
        <v>69</v>
      </c>
      <c r="AP37" s="3" t="s">
        <v>629</v>
      </c>
      <c r="AQ37" s="3" t="s">
        <v>638</v>
      </c>
      <c r="AR37" s="3" t="s">
        <v>85</v>
      </c>
      <c r="AS37" s="3" t="s">
        <v>86</v>
      </c>
      <c r="AT37" s="3" t="s">
        <v>87</v>
      </c>
      <c r="AU37" s="3" t="s">
        <v>112</v>
      </c>
      <c r="AV37" s="3" t="s">
        <v>69</v>
      </c>
      <c r="AW37" s="3" t="s">
        <v>69</v>
      </c>
      <c r="AX37" s="3" t="s">
        <v>69</v>
      </c>
      <c r="AY37" s="3" t="s">
        <v>90</v>
      </c>
      <c r="AZ37" s="8" t="s">
        <v>69</v>
      </c>
      <c r="BA37" s="3" t="s">
        <v>69</v>
      </c>
      <c r="BB37" s="3" t="s">
        <v>92</v>
      </c>
      <c r="BC37" s="3" t="s">
        <v>93</v>
      </c>
      <c r="BD37" s="12" t="str">
        <f>HYPERLINK("http://tempka.com","tempka.com")</f>
        <v>tempka.com</v>
      </c>
      <c r="BE37" s="3" t="s">
        <v>69</v>
      </c>
      <c r="BF37" s="9">
        <v>83</v>
      </c>
      <c r="BG37" s="3" t="s">
        <v>639</v>
      </c>
      <c r="BH37" s="3" t="s">
        <v>69</v>
      </c>
      <c r="BI37" s="3" t="s">
        <v>69</v>
      </c>
      <c r="BJ37" s="10">
        <v>1994</v>
      </c>
      <c r="BK37" s="3" t="s">
        <v>69</v>
      </c>
      <c r="BL37" s="1">
        <v>45135</v>
      </c>
      <c r="BM37" s="3" t="s">
        <v>69</v>
      </c>
      <c r="BN37" s="3" t="s">
        <v>69</v>
      </c>
      <c r="BO37" s="12" t="str">
        <f>HYPERLINK("https://my.pitchbook.com?c=216216-28","View Company Online")</f>
        <v>View Company Online</v>
      </c>
    </row>
    <row r="38" spans="1:67" x14ac:dyDescent="0.3">
      <c r="A38" s="13" t="s">
        <v>640</v>
      </c>
      <c r="B38" s="13" t="s">
        <v>641</v>
      </c>
      <c r="C38" s="13" t="s">
        <v>69</v>
      </c>
      <c r="D38" s="21" t="s">
        <v>69</v>
      </c>
      <c r="E38" s="13" t="s">
        <v>69</v>
      </c>
      <c r="F38" s="13" t="s">
        <v>69</v>
      </c>
      <c r="G38" s="13" t="s">
        <v>69</v>
      </c>
      <c r="H38" s="13" t="s">
        <v>69</v>
      </c>
      <c r="I38" s="19">
        <v>11.33</v>
      </c>
      <c r="J38" s="20">
        <v>7.03</v>
      </c>
      <c r="K38" s="19">
        <v>5.08</v>
      </c>
      <c r="L38" s="19">
        <v>1.05</v>
      </c>
      <c r="M38" s="19" t="s">
        <v>69</v>
      </c>
      <c r="N38" s="19">
        <v>1.54</v>
      </c>
      <c r="O38" s="19">
        <v>1.31</v>
      </c>
      <c r="P38" s="19" t="s">
        <v>69</v>
      </c>
      <c r="Q38" s="19">
        <v>0</v>
      </c>
      <c r="R38" s="18" t="s">
        <v>156</v>
      </c>
      <c r="S38" s="13" t="s">
        <v>69</v>
      </c>
      <c r="T38" s="13" t="s">
        <v>69</v>
      </c>
      <c r="U38" s="13" t="s">
        <v>69</v>
      </c>
      <c r="V38" s="13" t="s">
        <v>69</v>
      </c>
      <c r="W38" s="13" t="s">
        <v>69</v>
      </c>
      <c r="X38" s="13" t="s">
        <v>642</v>
      </c>
      <c r="Y38" s="13" t="s">
        <v>643</v>
      </c>
      <c r="Z38" s="13" t="s">
        <v>69</v>
      </c>
      <c r="AA38" s="13" t="s">
        <v>644</v>
      </c>
      <c r="AB38" s="13" t="s">
        <v>222</v>
      </c>
      <c r="AC38" s="18" t="s">
        <v>645</v>
      </c>
      <c r="AD38" s="13" t="s">
        <v>162</v>
      </c>
      <c r="AE38" s="18" t="s">
        <v>69</v>
      </c>
      <c r="AF38" s="18" t="s">
        <v>69</v>
      </c>
      <c r="AG38" s="13" t="s">
        <v>69</v>
      </c>
      <c r="AH38" s="13" t="s">
        <v>78</v>
      </c>
      <c r="AI38" s="13" t="s">
        <v>132</v>
      </c>
      <c r="AJ38" s="13" t="s">
        <v>69</v>
      </c>
      <c r="AK38" s="13" t="s">
        <v>69</v>
      </c>
      <c r="AL38" s="13" t="s">
        <v>646</v>
      </c>
      <c r="AM38" s="13" t="s">
        <v>647</v>
      </c>
      <c r="AN38" s="13" t="s">
        <v>165</v>
      </c>
      <c r="AO38" s="13" t="s">
        <v>69</v>
      </c>
      <c r="AP38" s="13" t="s">
        <v>640</v>
      </c>
      <c r="AQ38" s="13" t="s">
        <v>648</v>
      </c>
      <c r="AR38" s="13" t="s">
        <v>150</v>
      </c>
      <c r="AS38" s="13" t="s">
        <v>151</v>
      </c>
      <c r="AT38" s="13" t="s">
        <v>649</v>
      </c>
      <c r="AU38" s="13" t="s">
        <v>650</v>
      </c>
      <c r="AV38" s="13" t="s">
        <v>69</v>
      </c>
      <c r="AW38" s="13" t="s">
        <v>69</v>
      </c>
      <c r="AX38" s="13" t="s">
        <v>69</v>
      </c>
      <c r="AY38" s="13" t="s">
        <v>90</v>
      </c>
      <c r="AZ38" s="17" t="s">
        <v>69</v>
      </c>
      <c r="BA38" s="13" t="s">
        <v>69</v>
      </c>
      <c r="BB38" s="13" t="s">
        <v>92</v>
      </c>
      <c r="BC38" s="13" t="s">
        <v>93</v>
      </c>
      <c r="BD38" s="11" t="str">
        <f>HYPERLINK("http://mallardjewellers.co.uk","mallardjewellers.co.uk")</f>
        <v>mallardjewellers.co.uk</v>
      </c>
      <c r="BE38" s="13" t="s">
        <v>69</v>
      </c>
      <c r="BF38" s="16">
        <v>68</v>
      </c>
      <c r="BG38" s="13" t="s">
        <v>651</v>
      </c>
      <c r="BH38" s="13" t="s">
        <v>69</v>
      </c>
      <c r="BI38" s="13" t="s">
        <v>69</v>
      </c>
      <c r="BJ38" s="15">
        <v>2018</v>
      </c>
      <c r="BK38" s="13" t="s">
        <v>69</v>
      </c>
      <c r="BL38" s="14">
        <v>45136</v>
      </c>
      <c r="BM38" s="13" t="s">
        <v>69</v>
      </c>
      <c r="BN38" s="13" t="s">
        <v>69</v>
      </c>
      <c r="BO38" s="11" t="str">
        <f>HYPERLINK("https://my.pitchbook.com?c=505958-95","View Company Online")</f>
        <v>View Company Online</v>
      </c>
    </row>
    <row r="39" spans="1:67" x14ac:dyDescent="0.3">
      <c r="A39" s="3" t="s">
        <v>652</v>
      </c>
      <c r="B39" s="3" t="s">
        <v>653</v>
      </c>
      <c r="C39" s="3" t="s">
        <v>69</v>
      </c>
      <c r="D39" s="5" t="s">
        <v>69</v>
      </c>
      <c r="E39" s="3" t="s">
        <v>69</v>
      </c>
      <c r="F39" s="3" t="s">
        <v>69</v>
      </c>
      <c r="G39" s="3" t="s">
        <v>69</v>
      </c>
      <c r="H39" s="3" t="s">
        <v>69</v>
      </c>
      <c r="I39" s="4">
        <v>10.59</v>
      </c>
      <c r="J39" s="7">
        <v>72.98</v>
      </c>
      <c r="K39" s="4">
        <v>5.39</v>
      </c>
      <c r="L39" s="4">
        <v>0.34</v>
      </c>
      <c r="M39" s="4" t="s">
        <v>69</v>
      </c>
      <c r="N39" s="4">
        <v>0.82</v>
      </c>
      <c r="O39" s="4">
        <v>0.53</v>
      </c>
      <c r="P39" s="4" t="s">
        <v>69</v>
      </c>
      <c r="Q39" s="4">
        <v>0.9</v>
      </c>
      <c r="R39" s="6" t="s">
        <v>118</v>
      </c>
      <c r="S39" s="3" t="s">
        <v>69</v>
      </c>
      <c r="T39" s="3" t="s">
        <v>69</v>
      </c>
      <c r="U39" s="3" t="s">
        <v>69</v>
      </c>
      <c r="V39" s="3" t="s">
        <v>69</v>
      </c>
      <c r="W39" s="3" t="s">
        <v>69</v>
      </c>
      <c r="X39" s="3" t="s">
        <v>307</v>
      </c>
      <c r="Y39" s="3" t="s">
        <v>654</v>
      </c>
      <c r="Z39" s="3" t="s">
        <v>69</v>
      </c>
      <c r="AA39" s="3" t="s">
        <v>309</v>
      </c>
      <c r="AB39" s="3" t="s">
        <v>222</v>
      </c>
      <c r="AC39" s="6" t="s">
        <v>655</v>
      </c>
      <c r="AD39" s="3" t="s">
        <v>162</v>
      </c>
      <c r="AE39" s="6" t="s">
        <v>69</v>
      </c>
      <c r="AF39" s="6" t="s">
        <v>69</v>
      </c>
      <c r="AG39" s="3" t="s">
        <v>69</v>
      </c>
      <c r="AH39" s="3" t="s">
        <v>78</v>
      </c>
      <c r="AI39" s="3" t="s">
        <v>132</v>
      </c>
      <c r="AJ39" s="3" t="s">
        <v>656</v>
      </c>
      <c r="AK39" s="3" t="s">
        <v>69</v>
      </c>
      <c r="AL39" s="3" t="s">
        <v>657</v>
      </c>
      <c r="AM39" s="3" t="s">
        <v>658</v>
      </c>
      <c r="AN39" s="3" t="s">
        <v>165</v>
      </c>
      <c r="AO39" s="3" t="s">
        <v>69</v>
      </c>
      <c r="AP39" s="3" t="s">
        <v>652</v>
      </c>
      <c r="AQ39" s="3" t="s">
        <v>659</v>
      </c>
      <c r="AR39" s="3" t="s">
        <v>85</v>
      </c>
      <c r="AS39" s="3" t="s">
        <v>86</v>
      </c>
      <c r="AT39" s="3" t="s">
        <v>168</v>
      </c>
      <c r="AU39" s="3" t="s">
        <v>169</v>
      </c>
      <c r="AV39" s="3" t="s">
        <v>69</v>
      </c>
      <c r="AW39" s="3" t="s">
        <v>660</v>
      </c>
      <c r="AX39" s="3" t="s">
        <v>69</v>
      </c>
      <c r="AY39" s="3" t="s">
        <v>90</v>
      </c>
      <c r="AZ39" s="8" t="s">
        <v>69</v>
      </c>
      <c r="BA39" s="3" t="s">
        <v>69</v>
      </c>
      <c r="BB39" s="3" t="s">
        <v>92</v>
      </c>
      <c r="BC39" s="3" t="s">
        <v>93</v>
      </c>
      <c r="BD39" s="12" t="str">
        <f>HYPERLINK("http://emsonhaig.co.uk","emsonhaig.co.uk")</f>
        <v>emsonhaig.co.uk</v>
      </c>
      <c r="BE39" s="3" t="s">
        <v>69</v>
      </c>
      <c r="BF39" s="9">
        <v>73</v>
      </c>
      <c r="BG39" s="3" t="s">
        <v>661</v>
      </c>
      <c r="BH39" s="3" t="s">
        <v>69</v>
      </c>
      <c r="BI39" s="3" t="s">
        <v>69</v>
      </c>
      <c r="BJ39" s="10">
        <v>1990</v>
      </c>
      <c r="BK39" s="3" t="s">
        <v>69</v>
      </c>
      <c r="BL39" s="1">
        <v>45192</v>
      </c>
      <c r="BM39" s="3" t="s">
        <v>69</v>
      </c>
      <c r="BN39" s="3" t="s">
        <v>69</v>
      </c>
      <c r="BO39" s="12" t="str">
        <f>HYPERLINK("https://my.pitchbook.com?c=217872-82","View Company Online")</f>
        <v>View Company Online</v>
      </c>
    </row>
    <row r="40" spans="1:67" x14ac:dyDescent="0.3">
      <c r="A40" s="13" t="s">
        <v>662</v>
      </c>
      <c r="B40" s="13" t="s">
        <v>663</v>
      </c>
      <c r="C40" s="13" t="s">
        <v>69</v>
      </c>
      <c r="D40" s="21" t="s">
        <v>69</v>
      </c>
      <c r="E40" s="13" t="s">
        <v>69</v>
      </c>
      <c r="F40" s="13" t="s">
        <v>69</v>
      </c>
      <c r="G40" s="13" t="s">
        <v>69</v>
      </c>
      <c r="H40" s="13" t="s">
        <v>69</v>
      </c>
      <c r="I40" s="19">
        <v>10.49</v>
      </c>
      <c r="J40" s="20">
        <v>-1</v>
      </c>
      <c r="K40" s="19">
        <v>3.7</v>
      </c>
      <c r="L40" s="19">
        <v>0.3</v>
      </c>
      <c r="M40" s="19" t="s">
        <v>69</v>
      </c>
      <c r="N40" s="19">
        <v>0.69</v>
      </c>
      <c r="O40" s="19">
        <v>0.45</v>
      </c>
      <c r="P40" s="19" t="s">
        <v>69</v>
      </c>
      <c r="Q40" s="19">
        <v>0</v>
      </c>
      <c r="R40" s="18" t="s">
        <v>156</v>
      </c>
      <c r="S40" s="13" t="s">
        <v>69</v>
      </c>
      <c r="T40" s="13" t="s">
        <v>69</v>
      </c>
      <c r="U40" s="13" t="s">
        <v>69</v>
      </c>
      <c r="V40" s="13" t="s">
        <v>69</v>
      </c>
      <c r="W40" s="13" t="s">
        <v>69</v>
      </c>
      <c r="X40" s="13" t="s">
        <v>664</v>
      </c>
      <c r="Y40" s="13" t="s">
        <v>665</v>
      </c>
      <c r="Z40" s="13" t="s">
        <v>69</v>
      </c>
      <c r="AA40" s="13" t="s">
        <v>666</v>
      </c>
      <c r="AB40" s="13" t="s">
        <v>222</v>
      </c>
      <c r="AC40" s="18" t="s">
        <v>667</v>
      </c>
      <c r="AD40" s="13" t="s">
        <v>162</v>
      </c>
      <c r="AE40" s="18" t="s">
        <v>69</v>
      </c>
      <c r="AF40" s="18" t="s">
        <v>69</v>
      </c>
      <c r="AG40" s="13" t="s">
        <v>69</v>
      </c>
      <c r="AH40" s="13" t="s">
        <v>78</v>
      </c>
      <c r="AI40" s="13" t="s">
        <v>132</v>
      </c>
      <c r="AJ40" s="13" t="s">
        <v>69</v>
      </c>
      <c r="AK40" s="13" t="s">
        <v>69</v>
      </c>
      <c r="AL40" s="13" t="s">
        <v>668</v>
      </c>
      <c r="AM40" s="13" t="s">
        <v>669</v>
      </c>
      <c r="AN40" s="13" t="s">
        <v>165</v>
      </c>
      <c r="AO40" s="13" t="s">
        <v>69</v>
      </c>
      <c r="AP40" s="13" t="s">
        <v>662</v>
      </c>
      <c r="AQ40" s="13" t="s">
        <v>670</v>
      </c>
      <c r="AR40" s="13" t="s">
        <v>85</v>
      </c>
      <c r="AS40" s="13" t="s">
        <v>86</v>
      </c>
      <c r="AT40" s="13" t="s">
        <v>87</v>
      </c>
      <c r="AU40" s="13" t="s">
        <v>112</v>
      </c>
      <c r="AV40" s="13" t="s">
        <v>69</v>
      </c>
      <c r="AW40" s="13" t="s">
        <v>671</v>
      </c>
      <c r="AX40" s="13" t="s">
        <v>69</v>
      </c>
      <c r="AY40" s="13" t="s">
        <v>90</v>
      </c>
      <c r="AZ40" s="17" t="s">
        <v>69</v>
      </c>
      <c r="BA40" s="13" t="s">
        <v>69</v>
      </c>
      <c r="BB40" s="13" t="s">
        <v>92</v>
      </c>
      <c r="BC40" s="13" t="s">
        <v>93</v>
      </c>
      <c r="BD40" s="11" t="str">
        <f>HYPERLINK("http://hl-brown.co.uk","hl-brown.co.uk")</f>
        <v>hl-brown.co.uk</v>
      </c>
      <c r="BE40" s="13" t="s">
        <v>69</v>
      </c>
      <c r="BF40" s="16">
        <v>51</v>
      </c>
      <c r="BG40" s="13" t="s">
        <v>672</v>
      </c>
      <c r="BH40" s="13" t="s">
        <v>69</v>
      </c>
      <c r="BI40" s="13" t="s">
        <v>69</v>
      </c>
      <c r="BJ40" s="15">
        <v>1910</v>
      </c>
      <c r="BK40" s="13" t="s">
        <v>69</v>
      </c>
      <c r="BL40" s="14">
        <v>45220</v>
      </c>
      <c r="BM40" s="13" t="s">
        <v>69</v>
      </c>
      <c r="BN40" s="13" t="s">
        <v>69</v>
      </c>
      <c r="BO40" s="11" t="str">
        <f>HYPERLINK("https://my.pitchbook.com?c=220231-45","View Company Online")</f>
        <v>View Company Online</v>
      </c>
    </row>
    <row r="41" spans="1:67" x14ac:dyDescent="0.3">
      <c r="A41" s="3" t="s">
        <v>673</v>
      </c>
      <c r="B41" s="3" t="s">
        <v>674</v>
      </c>
      <c r="C41" s="3" t="s">
        <v>69</v>
      </c>
      <c r="D41" s="5" t="s">
        <v>69</v>
      </c>
      <c r="E41" s="3" t="s">
        <v>69</v>
      </c>
      <c r="F41" s="3" t="s">
        <v>69</v>
      </c>
      <c r="G41" s="3" t="s">
        <v>69</v>
      </c>
      <c r="H41" s="3" t="s">
        <v>675</v>
      </c>
      <c r="I41" s="4">
        <v>9.8699999999999992</v>
      </c>
      <c r="J41" s="7">
        <v>-2.65</v>
      </c>
      <c r="K41" s="4">
        <v>5.7</v>
      </c>
      <c r="L41" s="4">
        <v>0.39</v>
      </c>
      <c r="M41" s="4">
        <v>6.35</v>
      </c>
      <c r="N41" s="4">
        <v>0.74</v>
      </c>
      <c r="O41" s="4">
        <v>0.28000000000000003</v>
      </c>
      <c r="P41" s="4">
        <v>2.0299999999999998</v>
      </c>
      <c r="Q41" s="4">
        <v>2.7</v>
      </c>
      <c r="R41" s="6" t="s">
        <v>676</v>
      </c>
      <c r="S41" s="3" t="s">
        <v>69</v>
      </c>
      <c r="T41" s="3" t="s">
        <v>69</v>
      </c>
      <c r="U41" s="3" t="s">
        <v>69</v>
      </c>
      <c r="V41" s="3" t="s">
        <v>69</v>
      </c>
      <c r="W41" s="3" t="s">
        <v>69</v>
      </c>
      <c r="X41" s="3" t="s">
        <v>677</v>
      </c>
      <c r="Y41" s="3" t="s">
        <v>678</v>
      </c>
      <c r="Z41" s="3" t="s">
        <v>69</v>
      </c>
      <c r="AA41" s="3" t="s">
        <v>679</v>
      </c>
      <c r="AB41" s="3" t="s">
        <v>376</v>
      </c>
      <c r="AC41" s="6" t="s">
        <v>680</v>
      </c>
      <c r="AD41" s="3" t="s">
        <v>378</v>
      </c>
      <c r="AE41" s="6" t="s">
        <v>681</v>
      </c>
      <c r="AF41" s="6" t="s">
        <v>682</v>
      </c>
      <c r="AG41" s="3" t="s">
        <v>69</v>
      </c>
      <c r="AH41" s="3" t="s">
        <v>379</v>
      </c>
      <c r="AI41" s="3" t="s">
        <v>380</v>
      </c>
      <c r="AJ41" s="3" t="s">
        <v>683</v>
      </c>
      <c r="AK41" s="3" t="s">
        <v>69</v>
      </c>
      <c r="AL41" s="3" t="s">
        <v>684</v>
      </c>
      <c r="AM41" s="3" t="s">
        <v>69</v>
      </c>
      <c r="AN41" s="3" t="s">
        <v>69</v>
      </c>
      <c r="AO41" s="3" t="s">
        <v>69</v>
      </c>
      <c r="AP41" s="3" t="s">
        <v>673</v>
      </c>
      <c r="AQ41" s="3" t="s">
        <v>685</v>
      </c>
      <c r="AR41" s="3" t="s">
        <v>185</v>
      </c>
      <c r="AS41" s="3" t="s">
        <v>186</v>
      </c>
      <c r="AT41" s="3" t="s">
        <v>590</v>
      </c>
      <c r="AU41" s="3" t="s">
        <v>591</v>
      </c>
      <c r="AV41" s="3" t="s">
        <v>69</v>
      </c>
      <c r="AW41" s="3" t="s">
        <v>686</v>
      </c>
      <c r="AX41" s="3" t="s">
        <v>69</v>
      </c>
      <c r="AY41" s="3" t="s">
        <v>90</v>
      </c>
      <c r="AZ41" s="8" t="s">
        <v>69</v>
      </c>
      <c r="BA41" s="3" t="s">
        <v>91</v>
      </c>
      <c r="BB41" s="3" t="s">
        <v>92</v>
      </c>
      <c r="BC41" s="3" t="s">
        <v>454</v>
      </c>
      <c r="BD41" s="12" t="str">
        <f>HYPERLINK("http://www.starstruck.com","www.starstruck.com")</f>
        <v>www.starstruck.com</v>
      </c>
      <c r="BE41" s="3" t="s">
        <v>69</v>
      </c>
      <c r="BF41" s="9">
        <v>55</v>
      </c>
      <c r="BG41" s="3" t="s">
        <v>687</v>
      </c>
      <c r="BH41" s="3" t="s">
        <v>69</v>
      </c>
      <c r="BI41" s="3" t="s">
        <v>69</v>
      </c>
      <c r="BJ41" s="10" t="s">
        <v>69</v>
      </c>
      <c r="BK41" s="3" t="s">
        <v>69</v>
      </c>
      <c r="BL41" s="1">
        <v>45478</v>
      </c>
      <c r="BM41" s="3" t="s">
        <v>69</v>
      </c>
      <c r="BN41" s="3" t="s">
        <v>69</v>
      </c>
      <c r="BO41" s="12" t="str">
        <f>HYPERLINK("https://my.pitchbook.com?c=169783-66","View Company Online")</f>
        <v>View Company Online</v>
      </c>
    </row>
    <row r="42" spans="1:67" x14ac:dyDescent="0.3">
      <c r="A42" s="13" t="s">
        <v>688</v>
      </c>
      <c r="B42" s="13" t="s">
        <v>689</v>
      </c>
      <c r="C42" s="13" t="s">
        <v>69</v>
      </c>
      <c r="D42" s="21" t="s">
        <v>69</v>
      </c>
      <c r="E42" s="13" t="s">
        <v>69</v>
      </c>
      <c r="F42" s="13" t="s">
        <v>69</v>
      </c>
      <c r="G42" s="13" t="s">
        <v>69</v>
      </c>
      <c r="H42" s="13" t="s">
        <v>69</v>
      </c>
      <c r="I42" s="19">
        <v>8.1199999999999992</v>
      </c>
      <c r="J42" s="20">
        <v>21.55</v>
      </c>
      <c r="K42" s="19" t="s">
        <v>69</v>
      </c>
      <c r="L42" s="19">
        <v>0.13</v>
      </c>
      <c r="M42" s="19" t="s">
        <v>69</v>
      </c>
      <c r="N42" s="19" t="s">
        <v>69</v>
      </c>
      <c r="O42" s="19">
        <v>0.25</v>
      </c>
      <c r="P42" s="19" t="s">
        <v>69</v>
      </c>
      <c r="Q42" s="19">
        <v>0</v>
      </c>
      <c r="R42" s="18" t="s">
        <v>690</v>
      </c>
      <c r="S42" s="13" t="s">
        <v>69</v>
      </c>
      <c r="T42" s="13" t="s">
        <v>69</v>
      </c>
      <c r="U42" s="13" t="s">
        <v>69</v>
      </c>
      <c r="V42" s="13" t="s">
        <v>69</v>
      </c>
      <c r="W42" s="13" t="s">
        <v>69</v>
      </c>
      <c r="X42" s="13" t="s">
        <v>691</v>
      </c>
      <c r="Y42" s="13" t="s">
        <v>692</v>
      </c>
      <c r="Z42" s="13" t="s">
        <v>69</v>
      </c>
      <c r="AA42" s="13" t="s">
        <v>693</v>
      </c>
      <c r="AB42" s="13" t="s">
        <v>69</v>
      </c>
      <c r="AC42" s="18" t="s">
        <v>694</v>
      </c>
      <c r="AD42" s="13" t="s">
        <v>358</v>
      </c>
      <c r="AE42" s="18" t="s">
        <v>69</v>
      </c>
      <c r="AF42" s="18" t="s">
        <v>69</v>
      </c>
      <c r="AG42" s="13" t="s">
        <v>69</v>
      </c>
      <c r="AH42" s="13" t="s">
        <v>78</v>
      </c>
      <c r="AI42" s="13" t="s">
        <v>359</v>
      </c>
      <c r="AJ42" s="13" t="s">
        <v>69</v>
      </c>
      <c r="AK42" s="13" t="s">
        <v>69</v>
      </c>
      <c r="AL42" s="13" t="s">
        <v>695</v>
      </c>
      <c r="AM42" s="13" t="s">
        <v>696</v>
      </c>
      <c r="AN42" s="13" t="s">
        <v>362</v>
      </c>
      <c r="AO42" s="13" t="s">
        <v>69</v>
      </c>
      <c r="AP42" s="13" t="s">
        <v>688</v>
      </c>
      <c r="AQ42" s="13" t="s">
        <v>697</v>
      </c>
      <c r="AR42" s="13" t="s">
        <v>185</v>
      </c>
      <c r="AS42" s="13" t="s">
        <v>348</v>
      </c>
      <c r="AT42" s="13" t="s">
        <v>698</v>
      </c>
      <c r="AU42" s="13" t="s">
        <v>699</v>
      </c>
      <c r="AV42" s="13" t="s">
        <v>69</v>
      </c>
      <c r="AW42" s="13" t="s">
        <v>69</v>
      </c>
      <c r="AX42" s="13" t="s">
        <v>69</v>
      </c>
      <c r="AY42" s="13" t="s">
        <v>90</v>
      </c>
      <c r="AZ42" s="17" t="s">
        <v>69</v>
      </c>
      <c r="BA42" s="13" t="s">
        <v>69</v>
      </c>
      <c r="BB42" s="13" t="s">
        <v>92</v>
      </c>
      <c r="BC42" s="13" t="s">
        <v>93</v>
      </c>
      <c r="BD42" s="11" t="str">
        <f>HYPERLINK("http://www.zur.com.pl","www.zur.com.pl")</f>
        <v>www.zur.com.pl</v>
      </c>
      <c r="BE42" s="13" t="s">
        <v>69</v>
      </c>
      <c r="BF42" s="16">
        <v>80</v>
      </c>
      <c r="BG42" s="13" t="s">
        <v>700</v>
      </c>
      <c r="BH42" s="13" t="s">
        <v>69</v>
      </c>
      <c r="BI42" s="13" t="s">
        <v>69</v>
      </c>
      <c r="BJ42" s="15">
        <v>2002</v>
      </c>
      <c r="BK42" s="13" t="s">
        <v>69</v>
      </c>
      <c r="BL42" s="14">
        <v>45647</v>
      </c>
      <c r="BM42" s="13" t="s">
        <v>69</v>
      </c>
      <c r="BN42" s="13" t="s">
        <v>69</v>
      </c>
      <c r="BO42" s="11" t="str">
        <f>HYPERLINK("https://my.pitchbook.com?c=511446-25","View Company Online")</f>
        <v>View Company Online</v>
      </c>
    </row>
    <row r="43" spans="1:67" x14ac:dyDescent="0.3">
      <c r="A43" s="3" t="s">
        <v>701</v>
      </c>
      <c r="B43" s="3" t="s">
        <v>702</v>
      </c>
      <c r="C43" s="3" t="s">
        <v>69</v>
      </c>
      <c r="D43" s="5" t="s">
        <v>69</v>
      </c>
      <c r="E43" s="3" t="s">
        <v>69</v>
      </c>
      <c r="F43" s="3" t="s">
        <v>69</v>
      </c>
      <c r="G43" s="3" t="s">
        <v>69</v>
      </c>
      <c r="H43" s="3" t="s">
        <v>69</v>
      </c>
      <c r="I43" s="4">
        <v>5.71</v>
      </c>
      <c r="J43" s="7">
        <v>1.75</v>
      </c>
      <c r="K43" s="4">
        <v>4.51</v>
      </c>
      <c r="L43" s="4">
        <v>-0.22</v>
      </c>
      <c r="M43" s="4" t="s">
        <v>69</v>
      </c>
      <c r="N43" s="4">
        <v>0.02</v>
      </c>
      <c r="O43" s="4">
        <v>-0.24</v>
      </c>
      <c r="P43" s="4" t="s">
        <v>69</v>
      </c>
      <c r="Q43" s="4">
        <v>0.3</v>
      </c>
      <c r="R43" s="6" t="s">
        <v>156</v>
      </c>
      <c r="S43" s="3" t="s">
        <v>69</v>
      </c>
      <c r="T43" s="3" t="s">
        <v>69</v>
      </c>
      <c r="U43" s="3" t="s">
        <v>69</v>
      </c>
      <c r="V43" s="3" t="s">
        <v>69</v>
      </c>
      <c r="W43" s="3" t="s">
        <v>69</v>
      </c>
      <c r="X43" s="3" t="s">
        <v>703</v>
      </c>
      <c r="Y43" s="3" t="s">
        <v>704</v>
      </c>
      <c r="Z43" s="3" t="s">
        <v>69</v>
      </c>
      <c r="AA43" s="3" t="s">
        <v>705</v>
      </c>
      <c r="AB43" s="3" t="s">
        <v>541</v>
      </c>
      <c r="AC43" s="6" t="s">
        <v>706</v>
      </c>
      <c r="AD43" s="3" t="s">
        <v>162</v>
      </c>
      <c r="AE43" s="6" t="s">
        <v>69</v>
      </c>
      <c r="AF43" s="6" t="s">
        <v>69</v>
      </c>
      <c r="AG43" s="3" t="s">
        <v>69</v>
      </c>
      <c r="AH43" s="3" t="s">
        <v>78</v>
      </c>
      <c r="AI43" s="3" t="s">
        <v>132</v>
      </c>
      <c r="AJ43" s="3" t="s">
        <v>707</v>
      </c>
      <c r="AK43" s="3" t="s">
        <v>69</v>
      </c>
      <c r="AL43" s="3" t="s">
        <v>708</v>
      </c>
      <c r="AM43" s="3" t="s">
        <v>709</v>
      </c>
      <c r="AN43" s="3" t="s">
        <v>165</v>
      </c>
      <c r="AO43" s="3" t="s">
        <v>69</v>
      </c>
      <c r="AP43" s="3" t="s">
        <v>701</v>
      </c>
      <c r="AQ43" s="3" t="s">
        <v>710</v>
      </c>
      <c r="AR43" s="3" t="s">
        <v>85</v>
      </c>
      <c r="AS43" s="3" t="s">
        <v>711</v>
      </c>
      <c r="AT43" s="3" t="s">
        <v>712</v>
      </c>
      <c r="AU43" s="3" t="s">
        <v>713</v>
      </c>
      <c r="AV43" s="3" t="s">
        <v>69</v>
      </c>
      <c r="AW43" s="3" t="s">
        <v>714</v>
      </c>
      <c r="AX43" s="3" t="s">
        <v>69</v>
      </c>
      <c r="AY43" s="3" t="s">
        <v>90</v>
      </c>
      <c r="AZ43" s="8" t="s">
        <v>69</v>
      </c>
      <c r="BA43" s="3" t="s">
        <v>69</v>
      </c>
      <c r="BB43" s="3" t="s">
        <v>92</v>
      </c>
      <c r="BC43" s="3" t="s">
        <v>93</v>
      </c>
      <c r="BD43" s="12" t="str">
        <f>HYPERLINK("http://shetlandhotels.com","shetlandhotels.com")</f>
        <v>shetlandhotels.com</v>
      </c>
      <c r="BE43" s="3" t="s">
        <v>69</v>
      </c>
      <c r="BF43" s="9">
        <v>90</v>
      </c>
      <c r="BG43" s="3" t="s">
        <v>715</v>
      </c>
      <c r="BH43" s="3" t="s">
        <v>69</v>
      </c>
      <c r="BI43" s="3" t="s">
        <v>69</v>
      </c>
      <c r="BJ43" s="10">
        <v>1985</v>
      </c>
      <c r="BK43" s="3" t="s">
        <v>69</v>
      </c>
      <c r="BL43" s="1">
        <v>45637</v>
      </c>
      <c r="BM43" s="3" t="s">
        <v>69</v>
      </c>
      <c r="BN43" s="3" t="s">
        <v>69</v>
      </c>
      <c r="BO43" s="12" t="str">
        <f>HYPERLINK("https://my.pitchbook.com?c=208620-46","View Company Online")</f>
        <v>View Company Online</v>
      </c>
    </row>
    <row r="44" spans="1:67" x14ac:dyDescent="0.3">
      <c r="A44" s="13" t="s">
        <v>716</v>
      </c>
      <c r="B44" s="13" t="s">
        <v>717</v>
      </c>
      <c r="C44" s="13" t="s">
        <v>69</v>
      </c>
      <c r="D44" s="21" t="s">
        <v>69</v>
      </c>
      <c r="E44" s="13" t="s">
        <v>69</v>
      </c>
      <c r="F44" s="13" t="s">
        <v>69</v>
      </c>
      <c r="G44" s="13" t="s">
        <v>69</v>
      </c>
      <c r="H44" s="13" t="s">
        <v>69</v>
      </c>
      <c r="I44" s="19">
        <v>5.35</v>
      </c>
      <c r="J44" s="20">
        <v>-11.74</v>
      </c>
      <c r="K44" s="19" t="s">
        <v>69</v>
      </c>
      <c r="L44" s="19">
        <v>0.05</v>
      </c>
      <c r="M44" s="19" t="s">
        <v>69</v>
      </c>
      <c r="N44" s="19" t="s">
        <v>69</v>
      </c>
      <c r="O44" s="19">
        <v>0.01</v>
      </c>
      <c r="P44" s="19" t="s">
        <v>69</v>
      </c>
      <c r="Q44" s="19" t="s">
        <v>69</v>
      </c>
      <c r="R44" s="18" t="s">
        <v>70</v>
      </c>
      <c r="S44" s="13" t="s">
        <v>718</v>
      </c>
      <c r="T44" s="13" t="s">
        <v>719</v>
      </c>
      <c r="U44" s="13" t="s">
        <v>720</v>
      </c>
      <c r="V44" s="13" t="s">
        <v>721</v>
      </c>
      <c r="W44" s="13" t="s">
        <v>722</v>
      </c>
      <c r="X44" s="13" t="s">
        <v>723</v>
      </c>
      <c r="Y44" s="13" t="s">
        <v>724</v>
      </c>
      <c r="Z44" s="13" t="s">
        <v>69</v>
      </c>
      <c r="AA44" s="13" t="s">
        <v>202</v>
      </c>
      <c r="AB44" s="13" t="s">
        <v>69</v>
      </c>
      <c r="AC44" s="18" t="s">
        <v>725</v>
      </c>
      <c r="AD44" s="13" t="s">
        <v>204</v>
      </c>
      <c r="AE44" s="18" t="s">
        <v>722</v>
      </c>
      <c r="AF44" s="18" t="s">
        <v>69</v>
      </c>
      <c r="AG44" s="13" t="s">
        <v>726</v>
      </c>
      <c r="AH44" s="13" t="s">
        <v>78</v>
      </c>
      <c r="AI44" s="13" t="s">
        <v>79</v>
      </c>
      <c r="AJ44" s="13" t="s">
        <v>69</v>
      </c>
      <c r="AK44" s="13" t="s">
        <v>69</v>
      </c>
      <c r="AL44" s="13" t="s">
        <v>727</v>
      </c>
      <c r="AM44" s="13" t="s">
        <v>728</v>
      </c>
      <c r="AN44" s="13" t="s">
        <v>209</v>
      </c>
      <c r="AO44" s="13" t="s">
        <v>69</v>
      </c>
      <c r="AP44" s="13" t="s">
        <v>716</v>
      </c>
      <c r="AQ44" s="13" t="s">
        <v>729</v>
      </c>
      <c r="AR44" s="13" t="s">
        <v>85</v>
      </c>
      <c r="AS44" s="13" t="s">
        <v>623</v>
      </c>
      <c r="AT44" s="13" t="s">
        <v>730</v>
      </c>
      <c r="AU44" s="13" t="s">
        <v>731</v>
      </c>
      <c r="AV44" s="13" t="s">
        <v>69</v>
      </c>
      <c r="AW44" s="13" t="s">
        <v>732</v>
      </c>
      <c r="AX44" s="13" t="s">
        <v>69</v>
      </c>
      <c r="AY44" s="13" t="s">
        <v>90</v>
      </c>
      <c r="AZ44" s="17" t="s">
        <v>69</v>
      </c>
      <c r="BA44" s="13" t="s">
        <v>91</v>
      </c>
      <c r="BB44" s="13" t="s">
        <v>92</v>
      </c>
      <c r="BC44" s="13" t="s">
        <v>93</v>
      </c>
      <c r="BD44" s="11" t="str">
        <f>HYPERLINK("http://www.newtral.es","www.newtral.es")</f>
        <v>www.newtral.es</v>
      </c>
      <c r="BE44" s="11" t="str">
        <f>HYPERLINK("http://www.linkedin.com/company/newtral_media","http://www.linkedin.com/company/newtral_media")</f>
        <v>http://www.linkedin.com/company/newtral_media</v>
      </c>
      <c r="BF44" s="16">
        <v>77</v>
      </c>
      <c r="BG44" s="13" t="s">
        <v>733</v>
      </c>
      <c r="BH44" s="13" t="s">
        <v>69</v>
      </c>
      <c r="BI44" s="13" t="s">
        <v>69</v>
      </c>
      <c r="BJ44" s="15">
        <v>2017</v>
      </c>
      <c r="BK44" s="13" t="s">
        <v>69</v>
      </c>
      <c r="BL44" s="14">
        <v>45421</v>
      </c>
      <c r="BM44" s="13" t="s">
        <v>69</v>
      </c>
      <c r="BN44" s="13" t="s">
        <v>69</v>
      </c>
      <c r="BO44" s="11" t="str">
        <f>HYPERLINK("https://my.pitchbook.com?c=431786-17","View Company Online")</f>
        <v>View Company Online</v>
      </c>
    </row>
    <row r="45" spans="1:67" x14ac:dyDescent="0.3">
      <c r="A45" s="3" t="s">
        <v>734</v>
      </c>
      <c r="B45" s="3" t="s">
        <v>735</v>
      </c>
      <c r="C45" s="3" t="s">
        <v>69</v>
      </c>
      <c r="D45" s="5" t="s">
        <v>69</v>
      </c>
      <c r="E45" s="3" t="s">
        <v>69</v>
      </c>
      <c r="F45" s="3" t="s">
        <v>69</v>
      </c>
      <c r="G45" s="3" t="s">
        <v>69</v>
      </c>
      <c r="H45" s="3" t="s">
        <v>69</v>
      </c>
      <c r="I45" s="4">
        <v>3.92</v>
      </c>
      <c r="J45" s="7">
        <v>5.35</v>
      </c>
      <c r="K45" s="4" t="s">
        <v>69</v>
      </c>
      <c r="L45" s="4">
        <v>0.34</v>
      </c>
      <c r="M45" s="4" t="s">
        <v>69</v>
      </c>
      <c r="N45" s="4">
        <v>0.49</v>
      </c>
      <c r="O45" s="4">
        <v>0.46</v>
      </c>
      <c r="P45" s="4" t="s">
        <v>69</v>
      </c>
      <c r="Q45" s="4">
        <v>0.01</v>
      </c>
      <c r="R45" s="6" t="s">
        <v>70</v>
      </c>
      <c r="S45" s="3" t="s">
        <v>736</v>
      </c>
      <c r="T45" s="3" t="s">
        <v>737</v>
      </c>
      <c r="U45" s="3" t="s">
        <v>738</v>
      </c>
      <c r="V45" s="3" t="s">
        <v>69</v>
      </c>
      <c r="W45" s="3" t="s">
        <v>69</v>
      </c>
      <c r="X45" s="3" t="s">
        <v>739</v>
      </c>
      <c r="Y45" s="3" t="s">
        <v>740</v>
      </c>
      <c r="Z45" s="3" t="s">
        <v>69</v>
      </c>
      <c r="AA45" s="3" t="s">
        <v>741</v>
      </c>
      <c r="AB45" s="3" t="s">
        <v>742</v>
      </c>
      <c r="AC45" s="6" t="s">
        <v>743</v>
      </c>
      <c r="AD45" s="3" t="s">
        <v>295</v>
      </c>
      <c r="AE45" s="6" t="s">
        <v>69</v>
      </c>
      <c r="AF45" s="6" t="s">
        <v>69</v>
      </c>
      <c r="AG45" s="3" t="s">
        <v>69</v>
      </c>
      <c r="AH45" s="3" t="s">
        <v>78</v>
      </c>
      <c r="AI45" s="3" t="s">
        <v>132</v>
      </c>
      <c r="AJ45" s="3" t="s">
        <v>69</v>
      </c>
      <c r="AK45" s="3" t="s">
        <v>69</v>
      </c>
      <c r="AL45" s="3" t="s">
        <v>69</v>
      </c>
      <c r="AM45" s="3" t="s">
        <v>744</v>
      </c>
      <c r="AN45" s="3" t="s">
        <v>297</v>
      </c>
      <c r="AO45" s="3" t="s">
        <v>69</v>
      </c>
      <c r="AP45" s="3" t="s">
        <v>734</v>
      </c>
      <c r="AQ45" s="3" t="s">
        <v>745</v>
      </c>
      <c r="AR45" s="3" t="s">
        <v>185</v>
      </c>
      <c r="AS45" s="3" t="s">
        <v>348</v>
      </c>
      <c r="AT45" s="3" t="s">
        <v>349</v>
      </c>
      <c r="AU45" s="3" t="s">
        <v>350</v>
      </c>
      <c r="AV45" s="3" t="s">
        <v>69</v>
      </c>
      <c r="AW45" s="3" t="s">
        <v>69</v>
      </c>
      <c r="AX45" s="3" t="s">
        <v>69</v>
      </c>
      <c r="AY45" s="3" t="s">
        <v>90</v>
      </c>
      <c r="AZ45" s="8" t="s">
        <v>69</v>
      </c>
      <c r="BA45" s="3" t="s">
        <v>69</v>
      </c>
      <c r="BB45" s="3" t="s">
        <v>92</v>
      </c>
      <c r="BC45" s="3" t="s">
        <v>93</v>
      </c>
      <c r="BD45" s="12" t="str">
        <f>HYPERLINK("http://iceoptic.com","iceoptic.com")</f>
        <v>iceoptic.com</v>
      </c>
      <c r="BE45" s="3" t="s">
        <v>69</v>
      </c>
      <c r="BF45" s="9">
        <v>198</v>
      </c>
      <c r="BG45" s="3" t="s">
        <v>746</v>
      </c>
      <c r="BH45" s="3" t="s">
        <v>69</v>
      </c>
      <c r="BI45" s="3" t="s">
        <v>69</v>
      </c>
      <c r="BJ45" s="10">
        <v>1993</v>
      </c>
      <c r="BK45" s="3" t="s">
        <v>747</v>
      </c>
      <c r="BL45" s="1">
        <v>45697</v>
      </c>
      <c r="BM45" s="3" t="s">
        <v>69</v>
      </c>
      <c r="BN45" s="3" t="s">
        <v>69</v>
      </c>
      <c r="BO45" s="12" t="str">
        <f>HYPERLINK("https://my.pitchbook.com?c=208328-14","View Company Online")</f>
        <v>View Company Online</v>
      </c>
    </row>
    <row r="46" spans="1:67" x14ac:dyDescent="0.3">
      <c r="A46" s="13" t="s">
        <v>748</v>
      </c>
      <c r="B46" s="13" t="s">
        <v>749</v>
      </c>
      <c r="C46" s="13" t="s">
        <v>69</v>
      </c>
      <c r="D46" s="21" t="s">
        <v>69</v>
      </c>
      <c r="E46" s="13" t="s">
        <v>69</v>
      </c>
      <c r="F46" s="13" t="s">
        <v>69</v>
      </c>
      <c r="G46" s="13" t="s">
        <v>69</v>
      </c>
      <c r="H46" s="13" t="s">
        <v>69</v>
      </c>
      <c r="I46" s="19">
        <v>3</v>
      </c>
      <c r="J46" s="20">
        <v>-26.38</v>
      </c>
      <c r="K46" s="19">
        <v>-0.54</v>
      </c>
      <c r="L46" s="19">
        <v>-2</v>
      </c>
      <c r="M46" s="19" t="s">
        <v>69</v>
      </c>
      <c r="N46" s="19">
        <v>-1.62</v>
      </c>
      <c r="O46" s="19">
        <v>-1.79</v>
      </c>
      <c r="P46" s="19" t="s">
        <v>69</v>
      </c>
      <c r="Q46" s="19">
        <v>0.09</v>
      </c>
      <c r="R46" s="18" t="s">
        <v>579</v>
      </c>
      <c r="S46" s="13" t="s">
        <v>69</v>
      </c>
      <c r="T46" s="13" t="s">
        <v>69</v>
      </c>
      <c r="U46" s="13" t="s">
        <v>69</v>
      </c>
      <c r="V46" s="13" t="s">
        <v>69</v>
      </c>
      <c r="W46" s="13" t="s">
        <v>69</v>
      </c>
      <c r="X46" s="13" t="s">
        <v>750</v>
      </c>
      <c r="Y46" s="13" t="s">
        <v>751</v>
      </c>
      <c r="Z46" s="13" t="s">
        <v>69</v>
      </c>
      <c r="AA46" s="13" t="s">
        <v>752</v>
      </c>
      <c r="AB46" s="13" t="s">
        <v>222</v>
      </c>
      <c r="AC46" s="18" t="s">
        <v>753</v>
      </c>
      <c r="AD46" s="13" t="s">
        <v>162</v>
      </c>
      <c r="AE46" s="18" t="s">
        <v>69</v>
      </c>
      <c r="AF46" s="18" t="s">
        <v>69</v>
      </c>
      <c r="AG46" s="13" t="s">
        <v>69</v>
      </c>
      <c r="AH46" s="13" t="s">
        <v>78</v>
      </c>
      <c r="AI46" s="13" t="s">
        <v>132</v>
      </c>
      <c r="AJ46" s="13" t="s">
        <v>754</v>
      </c>
      <c r="AK46" s="13" t="s">
        <v>69</v>
      </c>
      <c r="AL46" s="13" t="s">
        <v>755</v>
      </c>
      <c r="AM46" s="13" t="s">
        <v>756</v>
      </c>
      <c r="AN46" s="13" t="s">
        <v>165</v>
      </c>
      <c r="AO46" s="13" t="s">
        <v>69</v>
      </c>
      <c r="AP46" s="13" t="s">
        <v>748</v>
      </c>
      <c r="AQ46" s="13" t="s">
        <v>757</v>
      </c>
      <c r="AR46" s="13" t="s">
        <v>85</v>
      </c>
      <c r="AS46" s="13" t="s">
        <v>86</v>
      </c>
      <c r="AT46" s="13" t="s">
        <v>87</v>
      </c>
      <c r="AU46" s="13" t="s">
        <v>112</v>
      </c>
      <c r="AV46" s="13" t="s">
        <v>69</v>
      </c>
      <c r="AW46" s="13" t="s">
        <v>758</v>
      </c>
      <c r="AX46" s="13" t="s">
        <v>69</v>
      </c>
      <c r="AY46" s="13" t="s">
        <v>90</v>
      </c>
      <c r="AZ46" s="17" t="s">
        <v>69</v>
      </c>
      <c r="BA46" s="13" t="s">
        <v>69</v>
      </c>
      <c r="BB46" s="13" t="s">
        <v>92</v>
      </c>
      <c r="BC46" s="13" t="s">
        <v>93</v>
      </c>
      <c r="BD46" s="11" t="str">
        <f>HYPERLINK("http://bodnant-welshfood.co.uk","bodnant-welshfood.co.uk")</f>
        <v>bodnant-welshfood.co.uk</v>
      </c>
      <c r="BE46" s="13" t="s">
        <v>69</v>
      </c>
      <c r="BF46" s="16">
        <v>67</v>
      </c>
      <c r="BG46" s="13" t="s">
        <v>759</v>
      </c>
      <c r="BH46" s="13" t="s">
        <v>69</v>
      </c>
      <c r="BI46" s="13" t="s">
        <v>69</v>
      </c>
      <c r="BJ46" s="15">
        <v>2005</v>
      </c>
      <c r="BK46" s="13" t="s">
        <v>69</v>
      </c>
      <c r="BL46" s="14">
        <v>45648</v>
      </c>
      <c r="BM46" s="13" t="s">
        <v>69</v>
      </c>
      <c r="BN46" s="13" t="s">
        <v>69</v>
      </c>
      <c r="BO46" s="11" t="str">
        <f>HYPERLINK("https://my.pitchbook.com?c=225059-95","View Company Online")</f>
        <v>View Company Online</v>
      </c>
    </row>
    <row r="47" spans="1:67" x14ac:dyDescent="0.3">
      <c r="A47" s="3" t="s">
        <v>760</v>
      </c>
      <c r="B47" s="3" t="s">
        <v>761</v>
      </c>
      <c r="C47" s="3" t="s">
        <v>69</v>
      </c>
      <c r="D47" s="5" t="s">
        <v>69</v>
      </c>
      <c r="E47" s="3" t="s">
        <v>69</v>
      </c>
      <c r="F47" s="3" t="s">
        <v>69</v>
      </c>
      <c r="G47" s="3" t="s">
        <v>69</v>
      </c>
      <c r="H47" s="3" t="s">
        <v>69</v>
      </c>
      <c r="I47" s="4">
        <v>2.31</v>
      </c>
      <c r="J47" s="7">
        <v>0.6</v>
      </c>
      <c r="K47" s="4" t="s">
        <v>69</v>
      </c>
      <c r="L47" s="4">
        <v>-0.32</v>
      </c>
      <c r="M47" s="4" t="s">
        <v>69</v>
      </c>
      <c r="N47" s="4">
        <v>-0.27</v>
      </c>
      <c r="O47" s="4">
        <v>-0.32</v>
      </c>
      <c r="P47" s="4" t="s">
        <v>69</v>
      </c>
      <c r="Q47" s="4">
        <v>0</v>
      </c>
      <c r="R47" s="6" t="s">
        <v>156</v>
      </c>
      <c r="S47" s="3" t="s">
        <v>69</v>
      </c>
      <c r="T47" s="3" t="s">
        <v>69</v>
      </c>
      <c r="U47" s="3" t="s">
        <v>69</v>
      </c>
      <c r="V47" s="3" t="s">
        <v>69</v>
      </c>
      <c r="W47" s="3" t="s">
        <v>69</v>
      </c>
      <c r="X47" s="3" t="s">
        <v>762</v>
      </c>
      <c r="Y47" s="3" t="s">
        <v>763</v>
      </c>
      <c r="Z47" s="3" t="s">
        <v>69</v>
      </c>
      <c r="AA47" s="3" t="s">
        <v>764</v>
      </c>
      <c r="AB47" s="3" t="s">
        <v>222</v>
      </c>
      <c r="AC47" s="6" t="s">
        <v>765</v>
      </c>
      <c r="AD47" s="3" t="s">
        <v>162</v>
      </c>
      <c r="AE47" s="6" t="s">
        <v>69</v>
      </c>
      <c r="AF47" s="6" t="s">
        <v>69</v>
      </c>
      <c r="AG47" s="3" t="s">
        <v>69</v>
      </c>
      <c r="AH47" s="3" t="s">
        <v>78</v>
      </c>
      <c r="AI47" s="3" t="s">
        <v>132</v>
      </c>
      <c r="AJ47" s="3" t="s">
        <v>69</v>
      </c>
      <c r="AK47" s="3" t="s">
        <v>69</v>
      </c>
      <c r="AL47" s="3" t="s">
        <v>69</v>
      </c>
      <c r="AM47" s="3" t="s">
        <v>766</v>
      </c>
      <c r="AN47" s="3" t="s">
        <v>165</v>
      </c>
      <c r="AO47" s="3" t="s">
        <v>69</v>
      </c>
      <c r="AP47" s="3" t="s">
        <v>760</v>
      </c>
      <c r="AQ47" s="3" t="s">
        <v>767</v>
      </c>
      <c r="AR47" s="3" t="s">
        <v>383</v>
      </c>
      <c r="AS47" s="3" t="s">
        <v>384</v>
      </c>
      <c r="AT47" s="3" t="s">
        <v>768</v>
      </c>
      <c r="AU47" s="3" t="s">
        <v>769</v>
      </c>
      <c r="AV47" s="3" t="s">
        <v>69</v>
      </c>
      <c r="AW47" s="3" t="s">
        <v>770</v>
      </c>
      <c r="AX47" s="3" t="s">
        <v>69</v>
      </c>
      <c r="AY47" s="3" t="s">
        <v>90</v>
      </c>
      <c r="AZ47" s="8" t="s">
        <v>69</v>
      </c>
      <c r="BA47" s="3" t="s">
        <v>69</v>
      </c>
      <c r="BB47" s="3" t="s">
        <v>92</v>
      </c>
      <c r="BC47" s="3" t="s">
        <v>93</v>
      </c>
      <c r="BD47" s="12" t="str">
        <f>HYPERLINK("http://astraline.co.uk","astraline.co.uk")</f>
        <v>astraline.co.uk</v>
      </c>
      <c r="BE47" s="12" t="str">
        <f>HYPERLINK("http://www.linkedin.com/company/astraline","http://www.linkedin.com/company/astraline")</f>
        <v>http://www.linkedin.com/company/astraline</v>
      </c>
      <c r="BF47" s="9">
        <v>64</v>
      </c>
      <c r="BG47" s="3" t="s">
        <v>771</v>
      </c>
      <c r="BH47" s="3" t="s">
        <v>69</v>
      </c>
      <c r="BI47" s="3" t="s">
        <v>69</v>
      </c>
      <c r="BJ47" s="10">
        <v>2000</v>
      </c>
      <c r="BK47" s="3" t="s">
        <v>69</v>
      </c>
      <c r="BL47" s="1">
        <v>45403</v>
      </c>
      <c r="BM47" s="3" t="s">
        <v>69</v>
      </c>
      <c r="BN47" s="3" t="s">
        <v>69</v>
      </c>
      <c r="BO47" s="12" t="str">
        <f>HYPERLINK("https://my.pitchbook.com?c=554591-98","View Company Online")</f>
        <v>View Company Online</v>
      </c>
    </row>
    <row r="48" spans="1:67" x14ac:dyDescent="0.3">
      <c r="A48" s="13" t="s">
        <v>772</v>
      </c>
      <c r="B48" s="13" t="s">
        <v>773</v>
      </c>
      <c r="C48" s="13" t="s">
        <v>69</v>
      </c>
      <c r="D48" s="21" t="s">
        <v>69</v>
      </c>
      <c r="E48" s="13" t="s">
        <v>69</v>
      </c>
      <c r="F48" s="13" t="s">
        <v>69</v>
      </c>
      <c r="G48" s="13" t="s">
        <v>69</v>
      </c>
      <c r="H48" s="13" t="s">
        <v>69</v>
      </c>
      <c r="I48" s="19">
        <v>1.58</v>
      </c>
      <c r="J48" s="20">
        <v>15.83</v>
      </c>
      <c r="K48" s="19" t="s">
        <v>69</v>
      </c>
      <c r="L48" s="19">
        <v>0.01</v>
      </c>
      <c r="M48" s="19" t="s">
        <v>69</v>
      </c>
      <c r="N48" s="19" t="s">
        <v>69</v>
      </c>
      <c r="O48" s="19">
        <v>0.02</v>
      </c>
      <c r="P48" s="19" t="s">
        <v>69</v>
      </c>
      <c r="Q48" s="19" t="s">
        <v>69</v>
      </c>
      <c r="R48" s="18" t="s">
        <v>774</v>
      </c>
      <c r="S48" s="13" t="s">
        <v>775</v>
      </c>
      <c r="T48" s="13" t="s">
        <v>776</v>
      </c>
      <c r="U48" s="13" t="s">
        <v>720</v>
      </c>
      <c r="V48" s="13" t="s">
        <v>777</v>
      </c>
      <c r="W48" s="13" t="s">
        <v>778</v>
      </c>
      <c r="X48" s="13" t="s">
        <v>779</v>
      </c>
      <c r="Y48" s="13" t="s">
        <v>780</v>
      </c>
      <c r="Z48" s="13" t="s">
        <v>69</v>
      </c>
      <c r="AA48" s="13" t="s">
        <v>781</v>
      </c>
      <c r="AB48" s="13" t="s">
        <v>69</v>
      </c>
      <c r="AC48" s="18" t="s">
        <v>782</v>
      </c>
      <c r="AD48" s="13" t="s">
        <v>204</v>
      </c>
      <c r="AE48" s="18" t="s">
        <v>778</v>
      </c>
      <c r="AF48" s="18" t="s">
        <v>69</v>
      </c>
      <c r="AG48" s="13" t="s">
        <v>69</v>
      </c>
      <c r="AH48" s="13" t="s">
        <v>78</v>
      </c>
      <c r="AI48" s="13" t="s">
        <v>79</v>
      </c>
      <c r="AJ48" s="13" t="s">
        <v>69</v>
      </c>
      <c r="AK48" s="13" t="s">
        <v>69</v>
      </c>
      <c r="AL48" s="13" t="s">
        <v>783</v>
      </c>
      <c r="AM48" s="13" t="s">
        <v>784</v>
      </c>
      <c r="AN48" s="13" t="s">
        <v>209</v>
      </c>
      <c r="AO48" s="13" t="s">
        <v>69</v>
      </c>
      <c r="AP48" s="13" t="s">
        <v>772</v>
      </c>
      <c r="AQ48" s="13" t="s">
        <v>785</v>
      </c>
      <c r="AR48" s="13" t="s">
        <v>185</v>
      </c>
      <c r="AS48" s="13" t="s">
        <v>348</v>
      </c>
      <c r="AT48" s="13" t="s">
        <v>349</v>
      </c>
      <c r="AU48" s="13" t="s">
        <v>350</v>
      </c>
      <c r="AV48" s="13" t="s">
        <v>69</v>
      </c>
      <c r="AW48" s="13" t="s">
        <v>786</v>
      </c>
      <c r="AX48" s="13" t="s">
        <v>69</v>
      </c>
      <c r="AY48" s="13" t="s">
        <v>90</v>
      </c>
      <c r="AZ48" s="17" t="s">
        <v>69</v>
      </c>
      <c r="BA48" s="13" t="s">
        <v>91</v>
      </c>
      <c r="BB48" s="13" t="s">
        <v>92</v>
      </c>
      <c r="BC48" s="13" t="s">
        <v>93</v>
      </c>
      <c r="BD48" s="11" t="str">
        <f>HYPERLINK("http://www.cristianlay.com","www.cristianlay.com")</f>
        <v>www.cristianlay.com</v>
      </c>
      <c r="BE48" s="11" t="str">
        <f>HYPERLINK("http://www.linkedin.com/company/cristian-lay","http://www.linkedin.com/company/cristian-lay")</f>
        <v>http://www.linkedin.com/company/cristian-lay</v>
      </c>
      <c r="BF48" s="16">
        <v>1600</v>
      </c>
      <c r="BG48" s="13" t="s">
        <v>787</v>
      </c>
      <c r="BH48" s="13" t="s">
        <v>69</v>
      </c>
      <c r="BI48" s="13" t="s">
        <v>69</v>
      </c>
      <c r="BJ48" s="15">
        <v>1981</v>
      </c>
      <c r="BK48" s="13" t="s">
        <v>69</v>
      </c>
      <c r="BL48" s="14">
        <v>45303</v>
      </c>
      <c r="BM48" s="13" t="s">
        <v>69</v>
      </c>
      <c r="BN48" s="13" t="s">
        <v>69</v>
      </c>
      <c r="BO48" s="11" t="str">
        <f>HYPERLINK("https://my.pitchbook.com?c=65121-67","View Company Online")</f>
        <v>View Company Online</v>
      </c>
    </row>
    <row r="49" spans="1:67" x14ac:dyDescent="0.3">
      <c r="A49" s="3" t="s">
        <v>788</v>
      </c>
      <c r="B49" s="3" t="s">
        <v>789</v>
      </c>
      <c r="C49" s="3" t="s">
        <v>69</v>
      </c>
      <c r="D49" s="5" t="s">
        <v>69</v>
      </c>
      <c r="E49" s="3" t="s">
        <v>69</v>
      </c>
      <c r="F49" s="3" t="s">
        <v>69</v>
      </c>
      <c r="G49" s="3" t="s">
        <v>69</v>
      </c>
      <c r="H49" s="3" t="s">
        <v>69</v>
      </c>
      <c r="I49" s="4">
        <v>1.35</v>
      </c>
      <c r="J49" s="7">
        <v>84.83</v>
      </c>
      <c r="K49" s="4" t="s">
        <v>69</v>
      </c>
      <c r="L49" s="4">
        <v>7.0000000000000007E-2</v>
      </c>
      <c r="M49" s="4" t="s">
        <v>69</v>
      </c>
      <c r="N49" s="4" t="s">
        <v>69</v>
      </c>
      <c r="O49" s="4">
        <v>0.1</v>
      </c>
      <c r="P49" s="4" t="s">
        <v>69</v>
      </c>
      <c r="Q49" s="4" t="s">
        <v>69</v>
      </c>
      <c r="R49" s="6" t="s">
        <v>367</v>
      </c>
      <c r="S49" s="3" t="s">
        <v>69</v>
      </c>
      <c r="T49" s="3" t="s">
        <v>69</v>
      </c>
      <c r="U49" s="3" t="s">
        <v>69</v>
      </c>
      <c r="V49" s="3" t="s">
        <v>69</v>
      </c>
      <c r="W49" s="3" t="s">
        <v>69</v>
      </c>
      <c r="X49" s="3" t="s">
        <v>790</v>
      </c>
      <c r="Y49" s="3" t="s">
        <v>791</v>
      </c>
      <c r="Z49" s="3" t="s">
        <v>69</v>
      </c>
      <c r="AA49" s="3" t="s">
        <v>792</v>
      </c>
      <c r="AB49" s="3" t="s">
        <v>69</v>
      </c>
      <c r="AC49" s="6" t="s">
        <v>69</v>
      </c>
      <c r="AD49" s="3" t="s">
        <v>204</v>
      </c>
      <c r="AE49" s="6" t="s">
        <v>793</v>
      </c>
      <c r="AF49" s="6" t="s">
        <v>69</v>
      </c>
      <c r="AG49" s="3" t="s">
        <v>794</v>
      </c>
      <c r="AH49" s="3" t="s">
        <v>78</v>
      </c>
      <c r="AI49" s="3" t="s">
        <v>79</v>
      </c>
      <c r="AJ49" s="3" t="s">
        <v>69</v>
      </c>
      <c r="AK49" s="3" t="s">
        <v>69</v>
      </c>
      <c r="AL49" s="3" t="s">
        <v>795</v>
      </c>
      <c r="AM49" s="3" t="s">
        <v>796</v>
      </c>
      <c r="AN49" s="3" t="s">
        <v>209</v>
      </c>
      <c r="AO49" s="3" t="s">
        <v>69</v>
      </c>
      <c r="AP49" s="3" t="s">
        <v>788</v>
      </c>
      <c r="AQ49" s="3" t="s">
        <v>797</v>
      </c>
      <c r="AR49" s="3" t="s">
        <v>85</v>
      </c>
      <c r="AS49" s="3" t="s">
        <v>211</v>
      </c>
      <c r="AT49" s="3" t="s">
        <v>212</v>
      </c>
      <c r="AU49" s="3" t="s">
        <v>798</v>
      </c>
      <c r="AV49" s="3" t="s">
        <v>113</v>
      </c>
      <c r="AW49" s="3" t="s">
        <v>799</v>
      </c>
      <c r="AX49" s="3" t="s">
        <v>69</v>
      </c>
      <c r="AY49" s="3" t="s">
        <v>90</v>
      </c>
      <c r="AZ49" s="8" t="s">
        <v>69</v>
      </c>
      <c r="BA49" s="3" t="s">
        <v>91</v>
      </c>
      <c r="BB49" s="3" t="s">
        <v>92</v>
      </c>
      <c r="BC49" s="3" t="s">
        <v>93</v>
      </c>
      <c r="BD49" s="12" t="str">
        <f>HYPERLINK("http://www.rabat.net","www.rabat.net")</f>
        <v>www.rabat.net</v>
      </c>
      <c r="BE49" s="12" t="str">
        <f>HYPERLINK("http://www.linkedin.com/company/rabat-joyas","http://www.linkedin.com/company/rabat-joyas")</f>
        <v>http://www.linkedin.com/company/rabat-joyas</v>
      </c>
      <c r="BF49" s="9">
        <v>216</v>
      </c>
      <c r="BG49" s="3" t="s">
        <v>800</v>
      </c>
      <c r="BH49" s="3" t="s">
        <v>69</v>
      </c>
      <c r="BI49" s="3" t="s">
        <v>69</v>
      </c>
      <c r="BJ49" s="10">
        <v>1977</v>
      </c>
      <c r="BK49" s="3" t="s">
        <v>69</v>
      </c>
      <c r="BL49" s="1">
        <v>44964</v>
      </c>
      <c r="BM49" s="3" t="s">
        <v>69</v>
      </c>
      <c r="BN49" s="3" t="s">
        <v>69</v>
      </c>
      <c r="BO49" s="12" t="str">
        <f>HYPERLINK("https://my.pitchbook.com?c=471109-96","View Company Online")</f>
        <v>View Company Online</v>
      </c>
    </row>
    <row r="50" spans="1:67" x14ac:dyDescent="0.3">
      <c r="A50" s="13" t="s">
        <v>801</v>
      </c>
      <c r="B50" s="13" t="s">
        <v>802</v>
      </c>
      <c r="C50" s="13" t="s">
        <v>69</v>
      </c>
      <c r="D50" s="21" t="s">
        <v>69</v>
      </c>
      <c r="E50" s="13" t="s">
        <v>69</v>
      </c>
      <c r="F50" s="13" t="s">
        <v>69</v>
      </c>
      <c r="G50" s="13" t="s">
        <v>69</v>
      </c>
      <c r="H50" s="13" t="s">
        <v>69</v>
      </c>
      <c r="I50" s="19">
        <v>1.29</v>
      </c>
      <c r="J50" s="20">
        <v>6.35</v>
      </c>
      <c r="K50" s="19" t="s">
        <v>69</v>
      </c>
      <c r="L50" s="19">
        <v>0.17</v>
      </c>
      <c r="M50" s="19" t="s">
        <v>69</v>
      </c>
      <c r="N50" s="19" t="s">
        <v>69</v>
      </c>
      <c r="O50" s="19" t="s">
        <v>69</v>
      </c>
      <c r="P50" s="19" t="s">
        <v>69</v>
      </c>
      <c r="Q50" s="19" t="s">
        <v>69</v>
      </c>
      <c r="R50" s="18" t="s">
        <v>174</v>
      </c>
      <c r="S50" s="13" t="s">
        <v>69</v>
      </c>
      <c r="T50" s="13" t="s">
        <v>69</v>
      </c>
      <c r="U50" s="13" t="s">
        <v>69</v>
      </c>
      <c r="V50" s="13" t="s">
        <v>69</v>
      </c>
      <c r="W50" s="13" t="s">
        <v>69</v>
      </c>
      <c r="X50" s="13" t="s">
        <v>803</v>
      </c>
      <c r="Y50" s="13" t="s">
        <v>804</v>
      </c>
      <c r="Z50" s="13" t="s">
        <v>69</v>
      </c>
      <c r="AA50" s="13" t="s">
        <v>805</v>
      </c>
      <c r="AB50" s="13" t="s">
        <v>806</v>
      </c>
      <c r="AC50" s="18" t="s">
        <v>807</v>
      </c>
      <c r="AD50" s="13" t="s">
        <v>378</v>
      </c>
      <c r="AE50" s="18" t="s">
        <v>808</v>
      </c>
      <c r="AF50" s="18" t="s">
        <v>69</v>
      </c>
      <c r="AG50" s="13" t="s">
        <v>69</v>
      </c>
      <c r="AH50" s="13" t="s">
        <v>379</v>
      </c>
      <c r="AI50" s="13" t="s">
        <v>380</v>
      </c>
      <c r="AJ50" s="13" t="s">
        <v>69</v>
      </c>
      <c r="AK50" s="13" t="s">
        <v>69</v>
      </c>
      <c r="AL50" s="13" t="s">
        <v>809</v>
      </c>
      <c r="AM50" s="13" t="s">
        <v>69</v>
      </c>
      <c r="AN50" s="13" t="s">
        <v>69</v>
      </c>
      <c r="AO50" s="13" t="s">
        <v>69</v>
      </c>
      <c r="AP50" s="13" t="s">
        <v>801</v>
      </c>
      <c r="AQ50" s="13" t="s">
        <v>810</v>
      </c>
      <c r="AR50" s="13" t="s">
        <v>383</v>
      </c>
      <c r="AS50" s="13" t="s">
        <v>384</v>
      </c>
      <c r="AT50" s="13" t="s">
        <v>811</v>
      </c>
      <c r="AU50" s="13" t="s">
        <v>812</v>
      </c>
      <c r="AV50" s="13" t="s">
        <v>69</v>
      </c>
      <c r="AW50" s="13" t="s">
        <v>69</v>
      </c>
      <c r="AX50" s="13" t="s">
        <v>69</v>
      </c>
      <c r="AY50" s="13" t="s">
        <v>90</v>
      </c>
      <c r="AZ50" s="17" t="s">
        <v>69</v>
      </c>
      <c r="BA50" s="13" t="s">
        <v>91</v>
      </c>
      <c r="BB50" s="13" t="s">
        <v>92</v>
      </c>
      <c r="BC50" s="13" t="s">
        <v>93</v>
      </c>
      <c r="BD50" s="11" t="str">
        <f>HYPERLINK("http://safewatchcare.com","safewatchcare.com")</f>
        <v>safewatchcare.com</v>
      </c>
      <c r="BE50" s="13" t="s">
        <v>69</v>
      </c>
      <c r="BF50" s="16">
        <v>92</v>
      </c>
      <c r="BG50" s="13" t="s">
        <v>813</v>
      </c>
      <c r="BH50" s="13" t="s">
        <v>69</v>
      </c>
      <c r="BI50" s="13" t="s">
        <v>69</v>
      </c>
      <c r="BJ50" s="15">
        <v>2008</v>
      </c>
      <c r="BK50" s="13" t="s">
        <v>69</v>
      </c>
      <c r="BL50" s="14">
        <v>45665</v>
      </c>
      <c r="BM50" s="13" t="s">
        <v>69</v>
      </c>
      <c r="BN50" s="13" t="s">
        <v>69</v>
      </c>
      <c r="BO50" s="11" t="str">
        <f>HYPERLINK("https://my.pitchbook.com?c=387229-42","View Company Online")</f>
        <v>View Company Online</v>
      </c>
    </row>
    <row r="51" spans="1:67" x14ac:dyDescent="0.3">
      <c r="A51" s="3" t="s">
        <v>814</v>
      </c>
      <c r="B51" s="3" t="s">
        <v>815</v>
      </c>
      <c r="C51" s="3" t="s">
        <v>69</v>
      </c>
      <c r="D51" s="5" t="s">
        <v>69</v>
      </c>
      <c r="E51" s="3" t="s">
        <v>69</v>
      </c>
      <c r="F51" s="3" t="s">
        <v>69</v>
      </c>
      <c r="G51" s="3" t="s">
        <v>69</v>
      </c>
      <c r="H51" s="3" t="s">
        <v>69</v>
      </c>
      <c r="I51" s="4">
        <v>0.38</v>
      </c>
      <c r="J51" s="7" t="s">
        <v>69</v>
      </c>
      <c r="K51" s="4" t="s">
        <v>69</v>
      </c>
      <c r="L51" s="4">
        <v>1.32</v>
      </c>
      <c r="M51" s="4" t="s">
        <v>69</v>
      </c>
      <c r="N51" s="4">
        <v>2.4300000000000002</v>
      </c>
      <c r="O51" s="4">
        <v>1.98</v>
      </c>
      <c r="P51" s="4" t="s">
        <v>69</v>
      </c>
      <c r="Q51" s="4">
        <v>0.09</v>
      </c>
      <c r="R51" s="6" t="s">
        <v>118</v>
      </c>
      <c r="S51" s="3" t="s">
        <v>69</v>
      </c>
      <c r="T51" s="3" t="s">
        <v>69</v>
      </c>
      <c r="U51" s="3" t="s">
        <v>69</v>
      </c>
      <c r="V51" s="3" t="s">
        <v>69</v>
      </c>
      <c r="W51" s="3" t="s">
        <v>69</v>
      </c>
      <c r="X51" s="3" t="s">
        <v>124</v>
      </c>
      <c r="Y51" s="3" t="s">
        <v>816</v>
      </c>
      <c r="Z51" s="3" t="s">
        <v>69</v>
      </c>
      <c r="AA51" s="3" t="s">
        <v>126</v>
      </c>
      <c r="AB51" s="3" t="s">
        <v>126</v>
      </c>
      <c r="AC51" s="6" t="s">
        <v>817</v>
      </c>
      <c r="AD51" s="3" t="s">
        <v>128</v>
      </c>
      <c r="AE51" s="6" t="s">
        <v>69</v>
      </c>
      <c r="AF51" s="6" t="s">
        <v>69</v>
      </c>
      <c r="AG51" s="3" t="s">
        <v>69</v>
      </c>
      <c r="AH51" s="3" t="s">
        <v>78</v>
      </c>
      <c r="AI51" s="3" t="s">
        <v>132</v>
      </c>
      <c r="AJ51" s="3" t="s">
        <v>69</v>
      </c>
      <c r="AK51" s="3" t="s">
        <v>69</v>
      </c>
      <c r="AL51" s="3" t="s">
        <v>818</v>
      </c>
      <c r="AM51" s="3" t="s">
        <v>819</v>
      </c>
      <c r="AN51" s="3" t="s">
        <v>135</v>
      </c>
      <c r="AO51" s="3" t="s">
        <v>69</v>
      </c>
      <c r="AP51" s="3" t="s">
        <v>814</v>
      </c>
      <c r="AQ51" s="3" t="s">
        <v>820</v>
      </c>
      <c r="AR51" s="3" t="s">
        <v>185</v>
      </c>
      <c r="AS51" s="3" t="s">
        <v>348</v>
      </c>
      <c r="AT51" s="3" t="s">
        <v>481</v>
      </c>
      <c r="AU51" s="3" t="s">
        <v>821</v>
      </c>
      <c r="AV51" s="3" t="s">
        <v>69</v>
      </c>
      <c r="AW51" s="3" t="s">
        <v>822</v>
      </c>
      <c r="AX51" s="3" t="s">
        <v>69</v>
      </c>
      <c r="AY51" s="3" t="s">
        <v>90</v>
      </c>
      <c r="AZ51" s="8" t="s">
        <v>69</v>
      </c>
      <c r="BA51" s="3" t="s">
        <v>69</v>
      </c>
      <c r="BB51" s="3" t="s">
        <v>92</v>
      </c>
      <c r="BC51" s="3" t="s">
        <v>93</v>
      </c>
      <c r="BD51" s="12" t="str">
        <f>HYPERLINK("http://agsus.de","agsus.de")</f>
        <v>agsus.de</v>
      </c>
      <c r="BE51" s="12" t="str">
        <f>HYPERLINK("http://www.linkedin.com/company/agsus-security","http://www.linkedin.com/company/agsus-security")</f>
        <v>http://www.linkedin.com/company/agsus-security</v>
      </c>
      <c r="BF51" s="9">
        <v>733</v>
      </c>
      <c r="BG51" s="3" t="s">
        <v>823</v>
      </c>
      <c r="BH51" s="3" t="s">
        <v>69</v>
      </c>
      <c r="BI51" s="3" t="s">
        <v>69</v>
      </c>
      <c r="BJ51" s="10">
        <v>2003</v>
      </c>
      <c r="BK51" s="3" t="s">
        <v>69</v>
      </c>
      <c r="BL51" s="1">
        <v>45459</v>
      </c>
      <c r="BM51" s="3" t="s">
        <v>69</v>
      </c>
      <c r="BN51" s="3" t="s">
        <v>69</v>
      </c>
      <c r="BO51" s="12" t="str">
        <f>HYPERLINK("https://my.pitchbook.com?c=553534-57","View Company Online")</f>
        <v>View Company Online</v>
      </c>
    </row>
    <row r="52" spans="1:67" x14ac:dyDescent="0.3">
      <c r="A52" s="13" t="s">
        <v>824</v>
      </c>
      <c r="B52" s="13" t="s">
        <v>825</v>
      </c>
      <c r="C52" s="13" t="s">
        <v>69</v>
      </c>
      <c r="D52" s="21" t="s">
        <v>69</v>
      </c>
      <c r="E52" s="13" t="s">
        <v>69</v>
      </c>
      <c r="F52" s="13" t="s">
        <v>69</v>
      </c>
      <c r="G52" s="13" t="s">
        <v>69</v>
      </c>
      <c r="H52" s="13" t="s">
        <v>69</v>
      </c>
      <c r="I52" s="19">
        <v>0.08</v>
      </c>
      <c r="J52" s="20" t="s">
        <v>69</v>
      </c>
      <c r="K52" s="19" t="s">
        <v>69</v>
      </c>
      <c r="L52" s="19" t="s">
        <v>69</v>
      </c>
      <c r="M52" s="19" t="s">
        <v>69</v>
      </c>
      <c r="N52" s="19" t="s">
        <v>69</v>
      </c>
      <c r="O52" s="19" t="s">
        <v>69</v>
      </c>
      <c r="P52" s="19" t="s">
        <v>69</v>
      </c>
      <c r="Q52" s="19" t="s">
        <v>69</v>
      </c>
      <c r="R52" s="18" t="s">
        <v>306</v>
      </c>
      <c r="S52" s="13" t="s">
        <v>826</v>
      </c>
      <c r="T52" s="13" t="s">
        <v>827</v>
      </c>
      <c r="U52" s="13" t="s">
        <v>828</v>
      </c>
      <c r="V52" s="13" t="s">
        <v>829</v>
      </c>
      <c r="W52" s="13" t="s">
        <v>69</v>
      </c>
      <c r="X52" s="13" t="s">
        <v>830</v>
      </c>
      <c r="Y52" s="13" t="s">
        <v>831</v>
      </c>
      <c r="Z52" s="13" t="s">
        <v>832</v>
      </c>
      <c r="AA52" s="13" t="s">
        <v>833</v>
      </c>
      <c r="AB52" s="13" t="s">
        <v>834</v>
      </c>
      <c r="AC52" s="18" t="s">
        <v>835</v>
      </c>
      <c r="AD52" s="13" t="s">
        <v>378</v>
      </c>
      <c r="AE52" s="18" t="s">
        <v>69</v>
      </c>
      <c r="AF52" s="18" t="s">
        <v>836</v>
      </c>
      <c r="AG52" s="13" t="s">
        <v>837</v>
      </c>
      <c r="AH52" s="13" t="s">
        <v>379</v>
      </c>
      <c r="AI52" s="13" t="s">
        <v>380</v>
      </c>
      <c r="AJ52" s="13" t="s">
        <v>69</v>
      </c>
      <c r="AK52" s="13" t="s">
        <v>838</v>
      </c>
      <c r="AL52" s="13" t="s">
        <v>839</v>
      </c>
      <c r="AM52" s="13" t="s">
        <v>69</v>
      </c>
      <c r="AN52" s="13" t="s">
        <v>69</v>
      </c>
      <c r="AO52" s="13" t="s">
        <v>69</v>
      </c>
      <c r="AP52" s="13" t="s">
        <v>824</v>
      </c>
      <c r="AQ52" s="13" t="s">
        <v>840</v>
      </c>
      <c r="AR52" s="13" t="s">
        <v>422</v>
      </c>
      <c r="AS52" s="13" t="s">
        <v>841</v>
      </c>
      <c r="AT52" s="13" t="s">
        <v>842</v>
      </c>
      <c r="AU52" s="13" t="s">
        <v>843</v>
      </c>
      <c r="AV52" s="13" t="s">
        <v>69</v>
      </c>
      <c r="AW52" s="13" t="s">
        <v>844</v>
      </c>
      <c r="AX52" s="13" t="s">
        <v>69</v>
      </c>
      <c r="AY52" s="13" t="s">
        <v>90</v>
      </c>
      <c r="AZ52" s="17" t="s">
        <v>69</v>
      </c>
      <c r="BA52" s="13" t="s">
        <v>91</v>
      </c>
      <c r="BB52" s="13" t="s">
        <v>92</v>
      </c>
      <c r="BC52" s="13" t="s">
        <v>93</v>
      </c>
      <c r="BD52" s="11" t="str">
        <f>HYPERLINK("http://www.marcaria.com","www.marcaria.com")</f>
        <v>www.marcaria.com</v>
      </c>
      <c r="BE52" s="11" t="str">
        <f>HYPERLINK("http://www.linkedin.com/company/marcaria.com","http://www.linkedin.com/company/marcaria.com")</f>
        <v>http://www.linkedin.com/company/marcaria.com</v>
      </c>
      <c r="BF52" s="16">
        <v>74</v>
      </c>
      <c r="BG52" s="13" t="s">
        <v>845</v>
      </c>
      <c r="BH52" s="13" t="s">
        <v>69</v>
      </c>
      <c r="BI52" s="13" t="s">
        <v>69</v>
      </c>
      <c r="BJ52" s="15">
        <v>2006</v>
      </c>
      <c r="BK52" s="13" t="s">
        <v>69</v>
      </c>
      <c r="BL52" s="14">
        <v>45566</v>
      </c>
      <c r="BM52" s="13" t="s">
        <v>69</v>
      </c>
      <c r="BN52" s="13" t="s">
        <v>69</v>
      </c>
      <c r="BO52" s="11" t="str">
        <f>HYPERLINK("https://my.pitchbook.com?c=466694-29","View Company Online")</f>
        <v>View Company Online</v>
      </c>
    </row>
    <row r="53" spans="1:67" x14ac:dyDescent="0.3">
      <c r="A53" s="3" t="s">
        <v>846</v>
      </c>
      <c r="B53" s="3" t="s">
        <v>847</v>
      </c>
      <c r="C53" s="3" t="s">
        <v>69</v>
      </c>
      <c r="D53" s="5" t="s">
        <v>69</v>
      </c>
      <c r="E53" s="3" t="s">
        <v>69</v>
      </c>
      <c r="F53" s="3" t="s">
        <v>69</v>
      </c>
      <c r="G53" s="3" t="s">
        <v>69</v>
      </c>
      <c r="H53" s="3" t="s">
        <v>69</v>
      </c>
      <c r="I53" s="4" t="s">
        <v>69</v>
      </c>
      <c r="J53" s="7" t="s">
        <v>69</v>
      </c>
      <c r="K53" s="4" t="s">
        <v>69</v>
      </c>
      <c r="L53" s="4" t="s">
        <v>69</v>
      </c>
      <c r="M53" s="4" t="s">
        <v>69</v>
      </c>
      <c r="N53" s="4" t="s">
        <v>69</v>
      </c>
      <c r="O53" s="4" t="s">
        <v>69</v>
      </c>
      <c r="P53" s="4" t="s">
        <v>69</v>
      </c>
      <c r="Q53" s="4" t="s">
        <v>69</v>
      </c>
      <c r="R53" s="6" t="s">
        <v>69</v>
      </c>
      <c r="S53" s="3" t="s">
        <v>69</v>
      </c>
      <c r="T53" s="3" t="s">
        <v>69</v>
      </c>
      <c r="U53" s="3" t="s">
        <v>69</v>
      </c>
      <c r="V53" s="3" t="s">
        <v>69</v>
      </c>
      <c r="W53" s="3" t="s">
        <v>69</v>
      </c>
      <c r="X53" s="3" t="s">
        <v>848</v>
      </c>
      <c r="Y53" s="3" t="s">
        <v>69</v>
      </c>
      <c r="Z53" s="3" t="s">
        <v>69</v>
      </c>
      <c r="AA53" s="3" t="s">
        <v>849</v>
      </c>
      <c r="AB53" s="3" t="s">
        <v>850</v>
      </c>
      <c r="AC53" s="6" t="s">
        <v>851</v>
      </c>
      <c r="AD53" s="3" t="s">
        <v>378</v>
      </c>
      <c r="AE53" s="6" t="s">
        <v>852</v>
      </c>
      <c r="AF53" s="6" t="s">
        <v>69</v>
      </c>
      <c r="AG53" s="3" t="s">
        <v>69</v>
      </c>
      <c r="AH53" s="3" t="s">
        <v>379</v>
      </c>
      <c r="AI53" s="3" t="s">
        <v>380</v>
      </c>
      <c r="AJ53" s="3" t="s">
        <v>69</v>
      </c>
      <c r="AK53" s="3" t="s">
        <v>69</v>
      </c>
      <c r="AL53" s="3" t="s">
        <v>69</v>
      </c>
      <c r="AM53" s="3" t="s">
        <v>69</v>
      </c>
      <c r="AN53" s="3" t="s">
        <v>69</v>
      </c>
      <c r="AO53" s="3" t="s">
        <v>69</v>
      </c>
      <c r="AP53" s="3" t="s">
        <v>846</v>
      </c>
      <c r="AQ53" s="3" t="s">
        <v>853</v>
      </c>
      <c r="AR53" s="3" t="s">
        <v>422</v>
      </c>
      <c r="AS53" s="3" t="s">
        <v>423</v>
      </c>
      <c r="AT53" s="3" t="s">
        <v>854</v>
      </c>
      <c r="AU53" s="3" t="s">
        <v>855</v>
      </c>
      <c r="AV53" s="3" t="s">
        <v>250</v>
      </c>
      <c r="AW53" s="3" t="s">
        <v>856</v>
      </c>
      <c r="AX53" s="3" t="s">
        <v>69</v>
      </c>
      <c r="AY53" s="3" t="s">
        <v>90</v>
      </c>
      <c r="AZ53" s="8" t="s">
        <v>69</v>
      </c>
      <c r="BA53" s="3" t="s">
        <v>69</v>
      </c>
      <c r="BB53" s="3" t="s">
        <v>92</v>
      </c>
      <c r="BC53" s="3" t="s">
        <v>93</v>
      </c>
      <c r="BD53" s="12" t="str">
        <f>HYPERLINK("http://alange-soehne.com","alange-soehne.com")</f>
        <v>alange-soehne.com</v>
      </c>
      <c r="BE53" s="12" t="str">
        <f>HYPERLINK("http://www.linkedin.com/company/alangesoehne","http://www.linkedin.com/company/alangesoehne")</f>
        <v>http://www.linkedin.com/company/alangesoehne</v>
      </c>
      <c r="BF53" s="9">
        <v>600</v>
      </c>
      <c r="BG53" s="3" t="s">
        <v>857</v>
      </c>
      <c r="BH53" s="3" t="s">
        <v>69</v>
      </c>
      <c r="BI53" s="3" t="s">
        <v>69</v>
      </c>
      <c r="BJ53" s="10">
        <v>1990</v>
      </c>
      <c r="BK53" s="3" t="s">
        <v>69</v>
      </c>
      <c r="BL53" s="1">
        <v>45136</v>
      </c>
      <c r="BM53" s="3" t="s">
        <v>69</v>
      </c>
      <c r="BN53" s="3" t="s">
        <v>69</v>
      </c>
      <c r="BO53" s="12" t="str">
        <f>HYPERLINK("https://my.pitchbook.com?c=134781-58","View Company Online")</f>
        <v>View Company Online</v>
      </c>
    </row>
    <row r="54" spans="1:67" x14ac:dyDescent="0.3">
      <c r="A54" s="13" t="s">
        <v>858</v>
      </c>
      <c r="B54" s="13" t="s">
        <v>859</v>
      </c>
      <c r="C54" s="13" t="s">
        <v>69</v>
      </c>
      <c r="D54" s="21" t="s">
        <v>69</v>
      </c>
      <c r="E54" s="13" t="s">
        <v>69</v>
      </c>
      <c r="F54" s="13" t="s">
        <v>69</v>
      </c>
      <c r="G54" s="13" t="s">
        <v>69</v>
      </c>
      <c r="H54" s="13" t="s">
        <v>69</v>
      </c>
      <c r="I54" s="19" t="s">
        <v>69</v>
      </c>
      <c r="J54" s="20" t="s">
        <v>69</v>
      </c>
      <c r="K54" s="19">
        <v>12.23</v>
      </c>
      <c r="L54" s="19">
        <v>0.62</v>
      </c>
      <c r="M54" s="19" t="s">
        <v>69</v>
      </c>
      <c r="N54" s="19">
        <v>1.63</v>
      </c>
      <c r="O54" s="19">
        <v>1.05</v>
      </c>
      <c r="P54" s="19" t="s">
        <v>69</v>
      </c>
      <c r="Q54" s="19">
        <v>0</v>
      </c>
      <c r="R54" s="18" t="s">
        <v>118</v>
      </c>
      <c r="S54" s="13" t="s">
        <v>860</v>
      </c>
      <c r="T54" s="13" t="s">
        <v>861</v>
      </c>
      <c r="U54" s="13" t="s">
        <v>862</v>
      </c>
      <c r="V54" s="13" t="s">
        <v>863</v>
      </c>
      <c r="W54" s="13" t="s">
        <v>864</v>
      </c>
      <c r="X54" s="13" t="s">
        <v>865</v>
      </c>
      <c r="Y54" s="13" t="s">
        <v>866</v>
      </c>
      <c r="Z54" s="13" t="s">
        <v>69</v>
      </c>
      <c r="AA54" s="13" t="s">
        <v>867</v>
      </c>
      <c r="AB54" s="13" t="s">
        <v>69</v>
      </c>
      <c r="AC54" s="18" t="s">
        <v>868</v>
      </c>
      <c r="AD54" s="13" t="s">
        <v>128</v>
      </c>
      <c r="AE54" s="18" t="s">
        <v>864</v>
      </c>
      <c r="AF54" s="18" t="s">
        <v>869</v>
      </c>
      <c r="AG54" s="13" t="s">
        <v>870</v>
      </c>
      <c r="AH54" s="13" t="s">
        <v>78</v>
      </c>
      <c r="AI54" s="13" t="s">
        <v>132</v>
      </c>
      <c r="AJ54" s="13" t="s">
        <v>69</v>
      </c>
      <c r="AK54" s="13" t="s">
        <v>871</v>
      </c>
      <c r="AL54" s="13" t="s">
        <v>872</v>
      </c>
      <c r="AM54" s="13" t="s">
        <v>873</v>
      </c>
      <c r="AN54" s="13" t="s">
        <v>874</v>
      </c>
      <c r="AO54" s="13" t="s">
        <v>875</v>
      </c>
      <c r="AP54" s="13" t="s">
        <v>858</v>
      </c>
      <c r="AQ54" s="13" t="s">
        <v>876</v>
      </c>
      <c r="AR54" s="13" t="s">
        <v>185</v>
      </c>
      <c r="AS54" s="13" t="s">
        <v>186</v>
      </c>
      <c r="AT54" s="13" t="s">
        <v>877</v>
      </c>
      <c r="AU54" s="13" t="s">
        <v>878</v>
      </c>
      <c r="AV54" s="13" t="s">
        <v>214</v>
      </c>
      <c r="AW54" s="13" t="s">
        <v>879</v>
      </c>
      <c r="AX54" s="13" t="s">
        <v>69</v>
      </c>
      <c r="AY54" s="13" t="s">
        <v>90</v>
      </c>
      <c r="AZ54" s="17" t="s">
        <v>69</v>
      </c>
      <c r="BA54" s="13" t="s">
        <v>91</v>
      </c>
      <c r="BB54" s="13" t="s">
        <v>92</v>
      </c>
      <c r="BC54" s="13" t="s">
        <v>93</v>
      </c>
      <c r="BD54" s="11" t="str">
        <f>HYPERLINK("http://acsyslaser.com","acsyslaser.com")</f>
        <v>acsyslaser.com</v>
      </c>
      <c r="BE54" s="11" t="str">
        <f>HYPERLINK("http://www.linkedin.com/company/acsyslaser","http://www.linkedin.com/company/acsyslaser")</f>
        <v>http://www.linkedin.com/company/acsyslaser</v>
      </c>
      <c r="BF54" s="16">
        <v>117</v>
      </c>
      <c r="BG54" s="13" t="s">
        <v>880</v>
      </c>
      <c r="BH54" s="13" t="s">
        <v>69</v>
      </c>
      <c r="BI54" s="13" t="s">
        <v>69</v>
      </c>
      <c r="BJ54" s="15">
        <v>2003</v>
      </c>
      <c r="BK54" s="13" t="s">
        <v>881</v>
      </c>
      <c r="BL54" s="14">
        <v>45767</v>
      </c>
      <c r="BM54" s="13" t="s">
        <v>69</v>
      </c>
      <c r="BN54" s="13" t="s">
        <v>69</v>
      </c>
      <c r="BO54" s="11" t="str">
        <f>HYPERLINK("https://my.pitchbook.com?c=306124-57","View Company Online")</f>
        <v>View Company Online</v>
      </c>
    </row>
    <row r="55" spans="1:67" x14ac:dyDescent="0.3">
      <c r="A55" s="3" t="s">
        <v>882</v>
      </c>
      <c r="B55" s="3" t="s">
        <v>883</v>
      </c>
      <c r="C55" s="3" t="s">
        <v>69</v>
      </c>
      <c r="D55" s="5" t="s">
        <v>69</v>
      </c>
      <c r="E55" s="3" t="s">
        <v>69</v>
      </c>
      <c r="F55" s="3" t="s">
        <v>69</v>
      </c>
      <c r="G55" s="3" t="s">
        <v>69</v>
      </c>
      <c r="H55" s="3" t="s">
        <v>69</v>
      </c>
      <c r="I55" s="4" t="s">
        <v>69</v>
      </c>
      <c r="J55" s="7" t="s">
        <v>69</v>
      </c>
      <c r="K55" s="4" t="s">
        <v>69</v>
      </c>
      <c r="L55" s="4" t="s">
        <v>69</v>
      </c>
      <c r="M55" s="4" t="s">
        <v>69</v>
      </c>
      <c r="N55" s="4" t="s">
        <v>69</v>
      </c>
      <c r="O55" s="4" t="s">
        <v>69</v>
      </c>
      <c r="P55" s="4" t="s">
        <v>69</v>
      </c>
      <c r="Q55" s="4" t="s">
        <v>69</v>
      </c>
      <c r="R55" s="6" t="s">
        <v>69</v>
      </c>
      <c r="S55" s="3" t="s">
        <v>69</v>
      </c>
      <c r="T55" s="3" t="s">
        <v>69</v>
      </c>
      <c r="U55" s="3" t="s">
        <v>69</v>
      </c>
      <c r="V55" s="3" t="s">
        <v>69</v>
      </c>
      <c r="W55" s="3" t="s">
        <v>69</v>
      </c>
      <c r="X55" s="3" t="s">
        <v>884</v>
      </c>
      <c r="Y55" s="3" t="s">
        <v>69</v>
      </c>
      <c r="Z55" s="3" t="s">
        <v>69</v>
      </c>
      <c r="AA55" s="3" t="s">
        <v>885</v>
      </c>
      <c r="AB55" s="3" t="s">
        <v>806</v>
      </c>
      <c r="AC55" s="6" t="s">
        <v>886</v>
      </c>
      <c r="AD55" s="3" t="s">
        <v>378</v>
      </c>
      <c r="AE55" s="6" t="s">
        <v>887</v>
      </c>
      <c r="AF55" s="6" t="s">
        <v>69</v>
      </c>
      <c r="AG55" s="3" t="s">
        <v>888</v>
      </c>
      <c r="AH55" s="3" t="s">
        <v>379</v>
      </c>
      <c r="AI55" s="3" t="s">
        <v>380</v>
      </c>
      <c r="AJ55" s="3" t="s">
        <v>69</v>
      </c>
      <c r="AK55" s="3" t="s">
        <v>69</v>
      </c>
      <c r="AL55" s="3" t="s">
        <v>69</v>
      </c>
      <c r="AM55" s="3" t="s">
        <v>69</v>
      </c>
      <c r="AN55" s="3" t="s">
        <v>69</v>
      </c>
      <c r="AO55" s="3" t="s">
        <v>69</v>
      </c>
      <c r="AP55" s="3" t="s">
        <v>882</v>
      </c>
      <c r="AQ55" s="3" t="s">
        <v>889</v>
      </c>
      <c r="AR55" s="3" t="s">
        <v>185</v>
      </c>
      <c r="AS55" s="3" t="s">
        <v>348</v>
      </c>
      <c r="AT55" s="3" t="s">
        <v>349</v>
      </c>
      <c r="AU55" s="3" t="s">
        <v>890</v>
      </c>
      <c r="AV55" s="3" t="s">
        <v>891</v>
      </c>
      <c r="AW55" s="3" t="s">
        <v>892</v>
      </c>
      <c r="AX55" s="3" t="s">
        <v>69</v>
      </c>
      <c r="AY55" s="3" t="s">
        <v>90</v>
      </c>
      <c r="AZ55" s="8" t="s">
        <v>69</v>
      </c>
      <c r="BA55" s="3" t="s">
        <v>69</v>
      </c>
      <c r="BB55" s="3" t="s">
        <v>92</v>
      </c>
      <c r="BC55" s="3" t="s">
        <v>93</v>
      </c>
      <c r="BD55" s="12" t="str">
        <f>HYPERLINK("http://advancedprofessionalsecurity.com","advancedprofessionalsecurity.com")</f>
        <v>advancedprofessionalsecurity.com</v>
      </c>
      <c r="BE55" s="12" t="str">
        <f>HYPERLINK("http://www.linkedin.com/company/advanced-professional-security","http://www.linkedin.com/company/advanced-professional-security")</f>
        <v>http://www.linkedin.com/company/advanced-professional-security</v>
      </c>
      <c r="BF55" s="9">
        <v>64</v>
      </c>
      <c r="BG55" s="3" t="s">
        <v>893</v>
      </c>
      <c r="BH55" s="3" t="s">
        <v>69</v>
      </c>
      <c r="BI55" s="3" t="s">
        <v>69</v>
      </c>
      <c r="BJ55" s="10">
        <v>2008</v>
      </c>
      <c r="BK55" s="3" t="s">
        <v>69</v>
      </c>
      <c r="BL55" s="1">
        <v>45633</v>
      </c>
      <c r="BM55" s="3" t="s">
        <v>69</v>
      </c>
      <c r="BN55" s="3" t="s">
        <v>69</v>
      </c>
      <c r="BO55" s="12" t="str">
        <f>HYPERLINK("https://my.pitchbook.com?c=129319-84","View Company Online")</f>
        <v>View Company Online</v>
      </c>
    </row>
    <row r="56" spans="1:67" x14ac:dyDescent="0.3">
      <c r="A56" s="13" t="s">
        <v>894</v>
      </c>
      <c r="B56" s="13" t="s">
        <v>895</v>
      </c>
      <c r="C56" s="13" t="s">
        <v>69</v>
      </c>
      <c r="D56" s="21" t="s">
        <v>69</v>
      </c>
      <c r="E56" s="13" t="s">
        <v>69</v>
      </c>
      <c r="F56" s="13" t="s">
        <v>69</v>
      </c>
      <c r="G56" s="13" t="s">
        <v>69</v>
      </c>
      <c r="H56" s="13" t="s">
        <v>69</v>
      </c>
      <c r="I56" s="19" t="s">
        <v>69</v>
      </c>
      <c r="J56" s="20" t="s">
        <v>69</v>
      </c>
      <c r="K56" s="19" t="s">
        <v>69</v>
      </c>
      <c r="L56" s="19" t="s">
        <v>69</v>
      </c>
      <c r="M56" s="19" t="s">
        <v>69</v>
      </c>
      <c r="N56" s="19" t="s">
        <v>69</v>
      </c>
      <c r="O56" s="19" t="s">
        <v>69</v>
      </c>
      <c r="P56" s="19" t="s">
        <v>69</v>
      </c>
      <c r="Q56" s="19" t="s">
        <v>69</v>
      </c>
      <c r="R56" s="18" t="s">
        <v>69</v>
      </c>
      <c r="S56" s="13" t="s">
        <v>69</v>
      </c>
      <c r="T56" s="13" t="s">
        <v>69</v>
      </c>
      <c r="U56" s="13" t="s">
        <v>69</v>
      </c>
      <c r="V56" s="13" t="s">
        <v>69</v>
      </c>
      <c r="W56" s="13" t="s">
        <v>69</v>
      </c>
      <c r="X56" s="13" t="s">
        <v>896</v>
      </c>
      <c r="Y56" s="13" t="s">
        <v>897</v>
      </c>
      <c r="Z56" s="13" t="s">
        <v>69</v>
      </c>
      <c r="AA56" s="13" t="s">
        <v>898</v>
      </c>
      <c r="AB56" s="13" t="s">
        <v>899</v>
      </c>
      <c r="AC56" s="18" t="s">
        <v>900</v>
      </c>
      <c r="AD56" s="13" t="s">
        <v>497</v>
      </c>
      <c r="AE56" s="18" t="s">
        <v>901</v>
      </c>
      <c r="AF56" s="18" t="s">
        <v>69</v>
      </c>
      <c r="AG56" s="13" t="s">
        <v>902</v>
      </c>
      <c r="AH56" s="13" t="s">
        <v>78</v>
      </c>
      <c r="AI56" s="13" t="s">
        <v>132</v>
      </c>
      <c r="AJ56" s="13" t="s">
        <v>69</v>
      </c>
      <c r="AK56" s="13" t="s">
        <v>69</v>
      </c>
      <c r="AL56" s="13" t="s">
        <v>69</v>
      </c>
      <c r="AM56" s="13" t="s">
        <v>69</v>
      </c>
      <c r="AN56" s="13" t="s">
        <v>69</v>
      </c>
      <c r="AO56" s="13" t="s">
        <v>69</v>
      </c>
      <c r="AP56" s="13" t="s">
        <v>894</v>
      </c>
      <c r="AQ56" s="13" t="s">
        <v>903</v>
      </c>
      <c r="AR56" s="13" t="s">
        <v>185</v>
      </c>
      <c r="AS56" s="13" t="s">
        <v>186</v>
      </c>
      <c r="AT56" s="13" t="s">
        <v>877</v>
      </c>
      <c r="AU56" s="13" t="s">
        <v>878</v>
      </c>
      <c r="AV56" s="13" t="s">
        <v>69</v>
      </c>
      <c r="AW56" s="13" t="s">
        <v>904</v>
      </c>
      <c r="AX56" s="13" t="s">
        <v>69</v>
      </c>
      <c r="AY56" s="13" t="s">
        <v>90</v>
      </c>
      <c r="AZ56" s="17" t="s">
        <v>69</v>
      </c>
      <c r="BA56" s="13" t="s">
        <v>69</v>
      </c>
      <c r="BB56" s="13" t="s">
        <v>92</v>
      </c>
      <c r="BC56" s="13" t="s">
        <v>93</v>
      </c>
      <c r="BD56" s="11" t="str">
        <f>HYPERLINK("http://affoltergroup.ch","affoltergroup.ch")</f>
        <v>affoltergroup.ch</v>
      </c>
      <c r="BE56" s="11" t="str">
        <f>HYPERLINK("http://www.linkedin.com/company/groupe-affolter","http://www.linkedin.com/company/groupe-affolter")</f>
        <v>http://www.linkedin.com/company/groupe-affolter</v>
      </c>
      <c r="BF56" s="16">
        <v>63</v>
      </c>
      <c r="BG56" s="13" t="s">
        <v>905</v>
      </c>
      <c r="BH56" s="13" t="s">
        <v>69</v>
      </c>
      <c r="BI56" s="13" t="s">
        <v>69</v>
      </c>
      <c r="BJ56" s="15">
        <v>1919</v>
      </c>
      <c r="BK56" s="13" t="s">
        <v>69</v>
      </c>
      <c r="BL56" s="14">
        <v>45678</v>
      </c>
      <c r="BM56" s="13" t="s">
        <v>69</v>
      </c>
      <c r="BN56" s="13" t="s">
        <v>69</v>
      </c>
      <c r="BO56" s="11" t="str">
        <f>HYPERLINK("https://my.pitchbook.com?c=553360-51","View Company Online")</f>
        <v>View Company Online</v>
      </c>
    </row>
    <row r="57" spans="1:67" x14ac:dyDescent="0.3">
      <c r="A57" s="3" t="s">
        <v>906</v>
      </c>
      <c r="B57" s="3" t="s">
        <v>907</v>
      </c>
      <c r="C57" s="3" t="s">
        <v>69</v>
      </c>
      <c r="D57" s="5" t="s">
        <v>69</v>
      </c>
      <c r="E57" s="3" t="s">
        <v>69</v>
      </c>
      <c r="F57" s="3" t="s">
        <v>69</v>
      </c>
      <c r="G57" s="3" t="s">
        <v>69</v>
      </c>
      <c r="H57" s="3" t="s">
        <v>69</v>
      </c>
      <c r="I57" s="4" t="s">
        <v>69</v>
      </c>
      <c r="J57" s="7" t="s">
        <v>69</v>
      </c>
      <c r="K57" s="4" t="s">
        <v>69</v>
      </c>
      <c r="L57" s="4" t="s">
        <v>69</v>
      </c>
      <c r="M57" s="4" t="s">
        <v>69</v>
      </c>
      <c r="N57" s="4" t="s">
        <v>69</v>
      </c>
      <c r="O57" s="4" t="s">
        <v>69</v>
      </c>
      <c r="P57" s="4" t="s">
        <v>69</v>
      </c>
      <c r="Q57" s="4" t="s">
        <v>69</v>
      </c>
      <c r="R57" s="6" t="s">
        <v>69</v>
      </c>
      <c r="S57" s="3" t="s">
        <v>69</v>
      </c>
      <c r="T57" s="3" t="s">
        <v>69</v>
      </c>
      <c r="U57" s="3" t="s">
        <v>69</v>
      </c>
      <c r="V57" s="3" t="s">
        <v>69</v>
      </c>
      <c r="W57" s="3" t="s">
        <v>69</v>
      </c>
      <c r="X57" s="3" t="s">
        <v>908</v>
      </c>
      <c r="Y57" s="3" t="s">
        <v>909</v>
      </c>
      <c r="Z57" s="3" t="s">
        <v>69</v>
      </c>
      <c r="AA57" s="3" t="s">
        <v>910</v>
      </c>
      <c r="AB57" s="3" t="s">
        <v>910</v>
      </c>
      <c r="AC57" s="6" t="s">
        <v>69</v>
      </c>
      <c r="AD57" s="3" t="s">
        <v>911</v>
      </c>
      <c r="AE57" s="6" t="s">
        <v>69</v>
      </c>
      <c r="AF57" s="6" t="s">
        <v>69</v>
      </c>
      <c r="AG57" s="3" t="s">
        <v>69</v>
      </c>
      <c r="AH57" s="3" t="s">
        <v>912</v>
      </c>
      <c r="AI57" s="3" t="s">
        <v>912</v>
      </c>
      <c r="AJ57" s="3" t="s">
        <v>69</v>
      </c>
      <c r="AK57" s="3" t="s">
        <v>69</v>
      </c>
      <c r="AL57" s="3" t="s">
        <v>69</v>
      </c>
      <c r="AM57" s="3" t="s">
        <v>69</v>
      </c>
      <c r="AN57" s="3" t="s">
        <v>69</v>
      </c>
      <c r="AO57" s="3" t="s">
        <v>69</v>
      </c>
      <c r="AP57" s="3" t="s">
        <v>906</v>
      </c>
      <c r="AQ57" s="3" t="s">
        <v>913</v>
      </c>
      <c r="AR57" s="3" t="s">
        <v>85</v>
      </c>
      <c r="AS57" s="3" t="s">
        <v>86</v>
      </c>
      <c r="AT57" s="3" t="s">
        <v>87</v>
      </c>
      <c r="AU57" s="3" t="s">
        <v>112</v>
      </c>
      <c r="AV57" s="3" t="s">
        <v>69</v>
      </c>
      <c r="AW57" s="3" t="s">
        <v>69</v>
      </c>
      <c r="AX57" s="3" t="s">
        <v>69</v>
      </c>
      <c r="AY57" s="3" t="s">
        <v>90</v>
      </c>
      <c r="AZ57" s="8" t="s">
        <v>69</v>
      </c>
      <c r="BA57" s="3" t="s">
        <v>69</v>
      </c>
      <c r="BB57" s="3" t="s">
        <v>92</v>
      </c>
      <c r="BC57" s="3" t="s">
        <v>93</v>
      </c>
      <c r="BD57" s="12" t="str">
        <f>HYPERLINK("http://alsulaimanjewellers.com","alsulaimanjewellers.com")</f>
        <v>alsulaimanjewellers.com</v>
      </c>
      <c r="BE57" s="12" t="str">
        <f>HYPERLINK("http://www.linkedin.com/company/al-sulaiman-jewellers","http://www.linkedin.com/company/al-sulaiman-jewellers")</f>
        <v>http://www.linkedin.com/company/al-sulaiman-jewellers</v>
      </c>
      <c r="BF57" s="9">
        <v>150</v>
      </c>
      <c r="BG57" s="3" t="s">
        <v>914</v>
      </c>
      <c r="BH57" s="3" t="s">
        <v>69</v>
      </c>
      <c r="BI57" s="3" t="s">
        <v>69</v>
      </c>
      <c r="BJ57" s="10">
        <v>1993</v>
      </c>
      <c r="BK57" s="3" t="s">
        <v>69</v>
      </c>
      <c r="BL57" s="1">
        <v>45517</v>
      </c>
      <c r="BM57" s="3" t="s">
        <v>69</v>
      </c>
      <c r="BN57" s="3" t="s">
        <v>69</v>
      </c>
      <c r="BO57" s="12" t="str">
        <f>HYPERLINK("https://my.pitchbook.com?c=632927-35","View Company Online")</f>
        <v>View Company Online</v>
      </c>
    </row>
    <row r="58" spans="1:67" x14ac:dyDescent="0.3">
      <c r="A58" s="13" t="s">
        <v>915</v>
      </c>
      <c r="B58" s="13" t="s">
        <v>916</v>
      </c>
      <c r="C58" s="13" t="s">
        <v>69</v>
      </c>
      <c r="D58" s="21" t="s">
        <v>69</v>
      </c>
      <c r="E58" s="13" t="s">
        <v>69</v>
      </c>
      <c r="F58" s="13" t="s">
        <v>69</v>
      </c>
      <c r="G58" s="13" t="s">
        <v>69</v>
      </c>
      <c r="H58" s="13" t="s">
        <v>69</v>
      </c>
      <c r="I58" s="19" t="s">
        <v>69</v>
      </c>
      <c r="J58" s="20" t="s">
        <v>69</v>
      </c>
      <c r="K58" s="19" t="s">
        <v>69</v>
      </c>
      <c r="L58" s="19" t="s">
        <v>69</v>
      </c>
      <c r="M58" s="19" t="s">
        <v>69</v>
      </c>
      <c r="N58" s="19" t="s">
        <v>69</v>
      </c>
      <c r="O58" s="19" t="s">
        <v>69</v>
      </c>
      <c r="P58" s="19" t="s">
        <v>69</v>
      </c>
      <c r="Q58" s="19" t="s">
        <v>69</v>
      </c>
      <c r="R58" s="18" t="s">
        <v>69</v>
      </c>
      <c r="S58" s="13" t="s">
        <v>69</v>
      </c>
      <c r="T58" s="13" t="s">
        <v>69</v>
      </c>
      <c r="U58" s="13" t="s">
        <v>69</v>
      </c>
      <c r="V58" s="13" t="s">
        <v>69</v>
      </c>
      <c r="W58" s="13" t="s">
        <v>69</v>
      </c>
      <c r="X58" s="13" t="s">
        <v>917</v>
      </c>
      <c r="Y58" s="13" t="s">
        <v>918</v>
      </c>
      <c r="Z58" s="13" t="s">
        <v>69</v>
      </c>
      <c r="AA58" s="13" t="s">
        <v>919</v>
      </c>
      <c r="AB58" s="13" t="s">
        <v>69</v>
      </c>
      <c r="AC58" s="18" t="s">
        <v>69</v>
      </c>
      <c r="AD58" s="13" t="s">
        <v>920</v>
      </c>
      <c r="AE58" s="18" t="s">
        <v>69</v>
      </c>
      <c r="AF58" s="18" t="s">
        <v>69</v>
      </c>
      <c r="AG58" s="13" t="s">
        <v>69</v>
      </c>
      <c r="AH58" s="13" t="s">
        <v>379</v>
      </c>
      <c r="AI58" s="13" t="s">
        <v>921</v>
      </c>
      <c r="AJ58" s="13" t="s">
        <v>69</v>
      </c>
      <c r="AK58" s="13" t="s">
        <v>69</v>
      </c>
      <c r="AL58" s="13" t="s">
        <v>922</v>
      </c>
      <c r="AM58" s="13" t="s">
        <v>69</v>
      </c>
      <c r="AN58" s="13" t="s">
        <v>69</v>
      </c>
      <c r="AO58" s="13" t="s">
        <v>69</v>
      </c>
      <c r="AP58" s="13" t="s">
        <v>915</v>
      </c>
      <c r="AQ58" s="13" t="s">
        <v>923</v>
      </c>
      <c r="AR58" s="13" t="s">
        <v>85</v>
      </c>
      <c r="AS58" s="13" t="s">
        <v>86</v>
      </c>
      <c r="AT58" s="13" t="s">
        <v>87</v>
      </c>
      <c r="AU58" s="13" t="s">
        <v>112</v>
      </c>
      <c r="AV58" s="13" t="s">
        <v>69</v>
      </c>
      <c r="AW58" s="13" t="s">
        <v>69</v>
      </c>
      <c r="AX58" s="13" t="s">
        <v>69</v>
      </c>
      <c r="AY58" s="13" t="s">
        <v>90</v>
      </c>
      <c r="AZ58" s="17" t="s">
        <v>69</v>
      </c>
      <c r="BA58" s="13" t="s">
        <v>69</v>
      </c>
      <c r="BB58" s="13" t="s">
        <v>92</v>
      </c>
      <c r="BC58" s="13" t="s">
        <v>93</v>
      </c>
      <c r="BD58" s="11" t="str">
        <f>HYPERLINK("http://joyeria-aldo.com","joyeria-aldo.com")</f>
        <v>joyeria-aldo.com</v>
      </c>
      <c r="BE58" s="11" t="str">
        <f>HYPERLINK("http://www.linkedin.com/company/joyeria-aldo","http://www.linkedin.com/company/joyeria-aldo")</f>
        <v>http://www.linkedin.com/company/joyeria-aldo</v>
      </c>
      <c r="BF58" s="16">
        <v>51</v>
      </c>
      <c r="BG58" s="13" t="s">
        <v>924</v>
      </c>
      <c r="BH58" s="13" t="s">
        <v>69</v>
      </c>
      <c r="BI58" s="13" t="s">
        <v>69</v>
      </c>
      <c r="BJ58" s="15">
        <v>1984</v>
      </c>
      <c r="BK58" s="13" t="s">
        <v>69</v>
      </c>
      <c r="BL58" s="14">
        <v>45678</v>
      </c>
      <c r="BM58" s="13" t="s">
        <v>69</v>
      </c>
      <c r="BN58" s="13" t="s">
        <v>69</v>
      </c>
      <c r="BO58" s="11" t="str">
        <f>HYPERLINK("https://my.pitchbook.com?c=739979-38","View Company Online")</f>
        <v>View Company Online</v>
      </c>
    </row>
    <row r="59" spans="1:67" x14ac:dyDescent="0.3">
      <c r="A59" s="3" t="s">
        <v>925</v>
      </c>
      <c r="B59" s="3" t="s">
        <v>926</v>
      </c>
      <c r="C59" s="3" t="s">
        <v>69</v>
      </c>
      <c r="D59" s="5" t="s">
        <v>69</v>
      </c>
      <c r="E59" s="3" t="s">
        <v>69</v>
      </c>
      <c r="F59" s="3" t="s">
        <v>69</v>
      </c>
      <c r="G59" s="3" t="s">
        <v>69</v>
      </c>
      <c r="H59" s="3" t="s">
        <v>69</v>
      </c>
      <c r="I59" s="4" t="s">
        <v>69</v>
      </c>
      <c r="J59" s="7" t="s">
        <v>69</v>
      </c>
      <c r="K59" s="4" t="s">
        <v>69</v>
      </c>
      <c r="L59" s="4" t="s">
        <v>69</v>
      </c>
      <c r="M59" s="4" t="s">
        <v>69</v>
      </c>
      <c r="N59" s="4" t="s">
        <v>69</v>
      </c>
      <c r="O59" s="4" t="s">
        <v>69</v>
      </c>
      <c r="P59" s="4" t="s">
        <v>69</v>
      </c>
      <c r="Q59" s="4">
        <v>0.76</v>
      </c>
      <c r="R59" s="6" t="s">
        <v>156</v>
      </c>
      <c r="S59" s="3" t="s">
        <v>69</v>
      </c>
      <c r="T59" s="3" t="s">
        <v>69</v>
      </c>
      <c r="U59" s="3" t="s">
        <v>69</v>
      </c>
      <c r="V59" s="3" t="s">
        <v>69</v>
      </c>
      <c r="W59" s="3" t="s">
        <v>69</v>
      </c>
      <c r="X59" s="3" t="s">
        <v>927</v>
      </c>
      <c r="Y59" s="3" t="s">
        <v>928</v>
      </c>
      <c r="Z59" s="3" t="s">
        <v>69</v>
      </c>
      <c r="AA59" s="3" t="s">
        <v>929</v>
      </c>
      <c r="AB59" s="3" t="s">
        <v>222</v>
      </c>
      <c r="AC59" s="6" t="s">
        <v>930</v>
      </c>
      <c r="AD59" s="3" t="s">
        <v>162</v>
      </c>
      <c r="AE59" s="6" t="s">
        <v>69</v>
      </c>
      <c r="AF59" s="6" t="s">
        <v>69</v>
      </c>
      <c r="AG59" s="3" t="s">
        <v>69</v>
      </c>
      <c r="AH59" s="3" t="s">
        <v>78</v>
      </c>
      <c r="AI59" s="3" t="s">
        <v>132</v>
      </c>
      <c r="AJ59" s="3" t="s">
        <v>931</v>
      </c>
      <c r="AK59" s="3" t="s">
        <v>69</v>
      </c>
      <c r="AL59" s="3" t="s">
        <v>932</v>
      </c>
      <c r="AM59" s="3" t="s">
        <v>933</v>
      </c>
      <c r="AN59" s="3" t="s">
        <v>165</v>
      </c>
      <c r="AO59" s="3" t="s">
        <v>69</v>
      </c>
      <c r="AP59" s="3" t="s">
        <v>925</v>
      </c>
      <c r="AQ59" s="3" t="s">
        <v>934</v>
      </c>
      <c r="AR59" s="3" t="s">
        <v>85</v>
      </c>
      <c r="AS59" s="3" t="s">
        <v>86</v>
      </c>
      <c r="AT59" s="3" t="s">
        <v>87</v>
      </c>
      <c r="AU59" s="3" t="s">
        <v>112</v>
      </c>
      <c r="AV59" s="3" t="s">
        <v>69</v>
      </c>
      <c r="AW59" s="3" t="s">
        <v>935</v>
      </c>
      <c r="AX59" s="3" t="s">
        <v>69</v>
      </c>
      <c r="AY59" s="3" t="s">
        <v>90</v>
      </c>
      <c r="AZ59" s="8" t="s">
        <v>69</v>
      </c>
      <c r="BA59" s="3" t="s">
        <v>69</v>
      </c>
      <c r="BB59" s="3" t="s">
        <v>92</v>
      </c>
      <c r="BC59" s="3" t="s">
        <v>93</v>
      </c>
      <c r="BD59" s="12" t="str">
        <f>HYPERLINK("http://allumandsidaway.co.uk","allumandsidaway.co.uk")</f>
        <v>allumandsidaway.co.uk</v>
      </c>
      <c r="BE59" s="3" t="s">
        <v>69</v>
      </c>
      <c r="BF59" s="9">
        <v>60</v>
      </c>
      <c r="BG59" s="3" t="s">
        <v>936</v>
      </c>
      <c r="BH59" s="3" t="s">
        <v>69</v>
      </c>
      <c r="BI59" s="3" t="s">
        <v>69</v>
      </c>
      <c r="BJ59" s="10">
        <v>2003</v>
      </c>
      <c r="BK59" s="3" t="s">
        <v>69</v>
      </c>
      <c r="BL59" s="1">
        <v>45218</v>
      </c>
      <c r="BM59" s="3" t="s">
        <v>69</v>
      </c>
      <c r="BN59" s="3" t="s">
        <v>69</v>
      </c>
      <c r="BO59" s="12" t="str">
        <f>HYPERLINK("https://my.pitchbook.com?c=212108-50","View Company Online")</f>
        <v>View Company Online</v>
      </c>
    </row>
    <row r="60" spans="1:67" x14ac:dyDescent="0.3">
      <c r="A60" s="13" t="s">
        <v>937</v>
      </c>
      <c r="B60" s="13" t="s">
        <v>938</v>
      </c>
      <c r="C60" s="13" t="s">
        <v>69</v>
      </c>
      <c r="D60" s="21" t="s">
        <v>69</v>
      </c>
      <c r="E60" s="13" t="s">
        <v>69</v>
      </c>
      <c r="F60" s="13" t="s">
        <v>69</v>
      </c>
      <c r="G60" s="13" t="s">
        <v>69</v>
      </c>
      <c r="H60" s="13" t="s">
        <v>69</v>
      </c>
      <c r="I60" s="19" t="s">
        <v>69</v>
      </c>
      <c r="J60" s="20" t="s">
        <v>69</v>
      </c>
      <c r="K60" s="19" t="s">
        <v>69</v>
      </c>
      <c r="L60" s="19" t="s">
        <v>69</v>
      </c>
      <c r="M60" s="19" t="s">
        <v>69</v>
      </c>
      <c r="N60" s="19" t="s">
        <v>69</v>
      </c>
      <c r="O60" s="19" t="s">
        <v>69</v>
      </c>
      <c r="P60" s="19" t="s">
        <v>69</v>
      </c>
      <c r="Q60" s="19" t="s">
        <v>69</v>
      </c>
      <c r="R60" s="18" t="s">
        <v>69</v>
      </c>
      <c r="S60" s="13" t="s">
        <v>69</v>
      </c>
      <c r="T60" s="13" t="s">
        <v>69</v>
      </c>
      <c r="U60" s="13" t="s">
        <v>69</v>
      </c>
      <c r="V60" s="13" t="s">
        <v>69</v>
      </c>
      <c r="W60" s="13" t="s">
        <v>69</v>
      </c>
      <c r="X60" s="13" t="s">
        <v>939</v>
      </c>
      <c r="Y60" s="13" t="s">
        <v>940</v>
      </c>
      <c r="Z60" s="13" t="s">
        <v>69</v>
      </c>
      <c r="AA60" s="13" t="s">
        <v>941</v>
      </c>
      <c r="AB60" s="13" t="s">
        <v>69</v>
      </c>
      <c r="AC60" s="18" t="s">
        <v>942</v>
      </c>
      <c r="AD60" s="13" t="s">
        <v>943</v>
      </c>
      <c r="AE60" s="18" t="s">
        <v>69</v>
      </c>
      <c r="AF60" s="18" t="s">
        <v>69</v>
      </c>
      <c r="AG60" s="13" t="s">
        <v>69</v>
      </c>
      <c r="AH60" s="13" t="s">
        <v>912</v>
      </c>
      <c r="AI60" s="13" t="s">
        <v>912</v>
      </c>
      <c r="AJ60" s="13" t="s">
        <v>69</v>
      </c>
      <c r="AK60" s="13" t="s">
        <v>69</v>
      </c>
      <c r="AL60" s="13" t="s">
        <v>69</v>
      </c>
      <c r="AM60" s="13" t="s">
        <v>69</v>
      </c>
      <c r="AN60" s="13" t="s">
        <v>69</v>
      </c>
      <c r="AO60" s="13" t="s">
        <v>69</v>
      </c>
      <c r="AP60" s="13" t="s">
        <v>937</v>
      </c>
      <c r="AQ60" s="13" t="s">
        <v>944</v>
      </c>
      <c r="AR60" s="13" t="s">
        <v>185</v>
      </c>
      <c r="AS60" s="13" t="s">
        <v>186</v>
      </c>
      <c r="AT60" s="13" t="s">
        <v>187</v>
      </c>
      <c r="AU60" s="13" t="s">
        <v>945</v>
      </c>
      <c r="AV60" s="13" t="s">
        <v>69</v>
      </c>
      <c r="AW60" s="13" t="s">
        <v>69</v>
      </c>
      <c r="AX60" s="13" t="s">
        <v>69</v>
      </c>
      <c r="AY60" s="13" t="s">
        <v>90</v>
      </c>
      <c r="AZ60" s="17" t="s">
        <v>69</v>
      </c>
      <c r="BA60" s="13" t="s">
        <v>69</v>
      </c>
      <c r="BB60" s="13" t="s">
        <v>92</v>
      </c>
      <c r="BC60" s="13" t="s">
        <v>93</v>
      </c>
      <c r="BD60" s="11" t="str">
        <f>HYPERLINK("http://alshayawatches.com","alshayawatches.com")</f>
        <v>alshayawatches.com</v>
      </c>
      <c r="BE60" s="11" t="str">
        <f>HYPERLINK("http://www.linkedin.com/company/alshaya-watches","http://www.linkedin.com/company/alshaya-watches")</f>
        <v>http://www.linkedin.com/company/alshaya-watches</v>
      </c>
      <c r="BF60" s="16">
        <v>63</v>
      </c>
      <c r="BG60" s="13" t="s">
        <v>946</v>
      </c>
      <c r="BH60" s="13" t="s">
        <v>69</v>
      </c>
      <c r="BI60" s="13" t="s">
        <v>69</v>
      </c>
      <c r="BJ60" s="15">
        <v>1977</v>
      </c>
      <c r="BK60" s="13" t="s">
        <v>69</v>
      </c>
      <c r="BL60" s="14">
        <v>45587</v>
      </c>
      <c r="BM60" s="13" t="s">
        <v>69</v>
      </c>
      <c r="BN60" s="13" t="s">
        <v>69</v>
      </c>
      <c r="BO60" s="11" t="str">
        <f>HYPERLINK("https://my.pitchbook.com?c=699272-65","View Company Online")</f>
        <v>View Company Online</v>
      </c>
    </row>
    <row r="61" spans="1:67" x14ac:dyDescent="0.3">
      <c r="A61" s="3" t="s">
        <v>947</v>
      </c>
      <c r="B61" s="3" t="s">
        <v>948</v>
      </c>
      <c r="C61" s="3" t="s">
        <v>69</v>
      </c>
      <c r="D61" s="5" t="s">
        <v>69</v>
      </c>
      <c r="E61" s="3" t="s">
        <v>69</v>
      </c>
      <c r="F61" s="3" t="s">
        <v>69</v>
      </c>
      <c r="G61" s="3" t="s">
        <v>69</v>
      </c>
      <c r="H61" s="3" t="s">
        <v>69</v>
      </c>
      <c r="I61" s="4" t="s">
        <v>69</v>
      </c>
      <c r="J61" s="7" t="s">
        <v>69</v>
      </c>
      <c r="K61" s="4" t="s">
        <v>69</v>
      </c>
      <c r="L61" s="4" t="s">
        <v>69</v>
      </c>
      <c r="M61" s="4" t="s">
        <v>69</v>
      </c>
      <c r="N61" s="4" t="s">
        <v>69</v>
      </c>
      <c r="O61" s="4" t="s">
        <v>69</v>
      </c>
      <c r="P61" s="4" t="s">
        <v>69</v>
      </c>
      <c r="Q61" s="4" t="s">
        <v>69</v>
      </c>
      <c r="R61" s="6" t="s">
        <v>69</v>
      </c>
      <c r="S61" s="3" t="s">
        <v>69</v>
      </c>
      <c r="T61" s="3" t="s">
        <v>69</v>
      </c>
      <c r="U61" s="3" t="s">
        <v>69</v>
      </c>
      <c r="V61" s="3" t="s">
        <v>69</v>
      </c>
      <c r="W61" s="3" t="s">
        <v>69</v>
      </c>
      <c r="X61" s="3" t="s">
        <v>949</v>
      </c>
      <c r="Y61" s="3" t="s">
        <v>69</v>
      </c>
      <c r="Z61" s="3" t="s">
        <v>69</v>
      </c>
      <c r="AA61" s="3" t="s">
        <v>950</v>
      </c>
      <c r="AB61" s="3" t="s">
        <v>417</v>
      </c>
      <c r="AC61" s="6" t="s">
        <v>951</v>
      </c>
      <c r="AD61" s="3" t="s">
        <v>378</v>
      </c>
      <c r="AE61" s="6" t="s">
        <v>952</v>
      </c>
      <c r="AF61" s="6" t="s">
        <v>69</v>
      </c>
      <c r="AG61" s="3" t="s">
        <v>69</v>
      </c>
      <c r="AH61" s="3" t="s">
        <v>379</v>
      </c>
      <c r="AI61" s="3" t="s">
        <v>380</v>
      </c>
      <c r="AJ61" s="3" t="s">
        <v>69</v>
      </c>
      <c r="AK61" s="3" t="s">
        <v>69</v>
      </c>
      <c r="AL61" s="3" t="s">
        <v>69</v>
      </c>
      <c r="AM61" s="3" t="s">
        <v>69</v>
      </c>
      <c r="AN61" s="3" t="s">
        <v>69</v>
      </c>
      <c r="AO61" s="3" t="s">
        <v>69</v>
      </c>
      <c r="AP61" s="3" t="s">
        <v>947</v>
      </c>
      <c r="AQ61" s="3" t="s">
        <v>953</v>
      </c>
      <c r="AR61" s="3" t="s">
        <v>185</v>
      </c>
      <c r="AS61" s="3" t="s">
        <v>348</v>
      </c>
      <c r="AT61" s="3" t="s">
        <v>349</v>
      </c>
      <c r="AU61" s="3" t="s">
        <v>350</v>
      </c>
      <c r="AV61" s="3" t="s">
        <v>69</v>
      </c>
      <c r="AW61" s="3" t="s">
        <v>954</v>
      </c>
      <c r="AX61" s="3" t="s">
        <v>69</v>
      </c>
      <c r="AY61" s="3" t="s">
        <v>90</v>
      </c>
      <c r="AZ61" s="8" t="s">
        <v>69</v>
      </c>
      <c r="BA61" s="3" t="s">
        <v>69</v>
      </c>
      <c r="BB61" s="3" t="s">
        <v>92</v>
      </c>
      <c r="BC61" s="3" t="s">
        <v>93</v>
      </c>
      <c r="BD61" s="12" t="str">
        <f>HYPERLINK("http://alyasra.com","alyasra.com")</f>
        <v>alyasra.com</v>
      </c>
      <c r="BE61" s="12" t="str">
        <f>HYPERLINK("http://www.linkedin.com/company/al-yasra-fashion-company-kuwait","http://www.linkedin.com/company/al-yasra-fashion-company-kuwait")</f>
        <v>http://www.linkedin.com/company/al-yasra-fashion-company-kuwait</v>
      </c>
      <c r="BF61" s="9">
        <v>1370</v>
      </c>
      <c r="BG61" s="3" t="s">
        <v>955</v>
      </c>
      <c r="BH61" s="3" t="s">
        <v>69</v>
      </c>
      <c r="BI61" s="3" t="s">
        <v>69</v>
      </c>
      <c r="BJ61" s="10">
        <v>1993</v>
      </c>
      <c r="BK61" s="3" t="s">
        <v>69</v>
      </c>
      <c r="BL61" s="1">
        <v>45204</v>
      </c>
      <c r="BM61" s="3" t="s">
        <v>69</v>
      </c>
      <c r="BN61" s="3" t="s">
        <v>69</v>
      </c>
      <c r="BO61" s="12" t="str">
        <f>HYPERLINK("https://my.pitchbook.com?c=127306-81","View Company Online")</f>
        <v>View Company Online</v>
      </c>
    </row>
    <row r="62" spans="1:67" x14ac:dyDescent="0.3">
      <c r="A62" s="13" t="s">
        <v>956</v>
      </c>
      <c r="B62" s="13" t="s">
        <v>957</v>
      </c>
      <c r="C62" s="13" t="s">
        <v>69</v>
      </c>
      <c r="D62" s="21" t="s">
        <v>69</v>
      </c>
      <c r="E62" s="13" t="s">
        <v>69</v>
      </c>
      <c r="F62" s="13" t="s">
        <v>69</v>
      </c>
      <c r="G62" s="13" t="s">
        <v>69</v>
      </c>
      <c r="H62" s="13" t="s">
        <v>69</v>
      </c>
      <c r="I62" s="19" t="s">
        <v>69</v>
      </c>
      <c r="J62" s="20" t="s">
        <v>69</v>
      </c>
      <c r="K62" s="19" t="s">
        <v>69</v>
      </c>
      <c r="L62" s="19" t="s">
        <v>69</v>
      </c>
      <c r="M62" s="19" t="s">
        <v>69</v>
      </c>
      <c r="N62" s="19" t="s">
        <v>69</v>
      </c>
      <c r="O62" s="19" t="s">
        <v>69</v>
      </c>
      <c r="P62" s="19" t="s">
        <v>69</v>
      </c>
      <c r="Q62" s="19" t="s">
        <v>69</v>
      </c>
      <c r="R62" s="18" t="s">
        <v>69</v>
      </c>
      <c r="S62" s="13" t="s">
        <v>69</v>
      </c>
      <c r="T62" s="13" t="s">
        <v>69</v>
      </c>
      <c r="U62" s="13" t="s">
        <v>69</v>
      </c>
      <c r="V62" s="13" t="s">
        <v>69</v>
      </c>
      <c r="W62" s="13" t="s">
        <v>69</v>
      </c>
      <c r="X62" s="13" t="s">
        <v>958</v>
      </c>
      <c r="Y62" s="13" t="s">
        <v>959</v>
      </c>
      <c r="Z62" s="13" t="s">
        <v>69</v>
      </c>
      <c r="AA62" s="13" t="s">
        <v>960</v>
      </c>
      <c r="AB62" s="13" t="s">
        <v>961</v>
      </c>
      <c r="AC62" s="18" t="s">
        <v>962</v>
      </c>
      <c r="AD62" s="13" t="s">
        <v>963</v>
      </c>
      <c r="AE62" s="18" t="s">
        <v>69</v>
      </c>
      <c r="AF62" s="18" t="s">
        <v>69</v>
      </c>
      <c r="AG62" s="13" t="s">
        <v>69</v>
      </c>
      <c r="AH62" s="13" t="s">
        <v>912</v>
      </c>
      <c r="AI62" s="13" t="s">
        <v>912</v>
      </c>
      <c r="AJ62" s="13" t="s">
        <v>69</v>
      </c>
      <c r="AK62" s="13" t="s">
        <v>69</v>
      </c>
      <c r="AL62" s="13" t="s">
        <v>69</v>
      </c>
      <c r="AM62" s="13" t="s">
        <v>69</v>
      </c>
      <c r="AN62" s="13" t="s">
        <v>69</v>
      </c>
      <c r="AO62" s="13" t="s">
        <v>69</v>
      </c>
      <c r="AP62" s="13" t="s">
        <v>956</v>
      </c>
      <c r="AQ62" s="13" t="s">
        <v>964</v>
      </c>
      <c r="AR62" s="13" t="s">
        <v>185</v>
      </c>
      <c r="AS62" s="13" t="s">
        <v>348</v>
      </c>
      <c r="AT62" s="13" t="s">
        <v>965</v>
      </c>
      <c r="AU62" s="13" t="s">
        <v>966</v>
      </c>
      <c r="AV62" s="13" t="s">
        <v>69</v>
      </c>
      <c r="AW62" s="13" t="s">
        <v>967</v>
      </c>
      <c r="AX62" s="13" t="s">
        <v>69</v>
      </c>
      <c r="AY62" s="13" t="s">
        <v>90</v>
      </c>
      <c r="AZ62" s="17" t="s">
        <v>69</v>
      </c>
      <c r="BA62" s="13" t="s">
        <v>69</v>
      </c>
      <c r="BB62" s="13" t="s">
        <v>92</v>
      </c>
      <c r="BC62" s="13" t="s">
        <v>93</v>
      </c>
      <c r="BD62" s="11" t="str">
        <f>HYPERLINK("http://ankarapatent.com","ankarapatent.com")</f>
        <v>ankarapatent.com</v>
      </c>
      <c r="BE62" s="11" t="str">
        <f>HYPERLINK("http://www.linkedin.com/company/ankarapatent","http://www.linkedin.com/company/ankarapatent")</f>
        <v>http://www.linkedin.com/company/ankarapatent</v>
      </c>
      <c r="BF62" s="16">
        <v>86</v>
      </c>
      <c r="BG62" s="13" t="s">
        <v>968</v>
      </c>
      <c r="BH62" s="13" t="s">
        <v>69</v>
      </c>
      <c r="BI62" s="13" t="s">
        <v>69</v>
      </c>
      <c r="BJ62" s="15">
        <v>1964</v>
      </c>
      <c r="BK62" s="13" t="s">
        <v>69</v>
      </c>
      <c r="BL62" s="14">
        <v>45349</v>
      </c>
      <c r="BM62" s="13" t="s">
        <v>69</v>
      </c>
      <c r="BN62" s="13" t="s">
        <v>69</v>
      </c>
      <c r="BO62" s="11" t="str">
        <f>HYPERLINK("https://my.pitchbook.com?c=545268-88","View Company Online")</f>
        <v>View Company Online</v>
      </c>
    </row>
    <row r="63" spans="1:67" x14ac:dyDescent="0.3">
      <c r="A63" s="3" t="s">
        <v>969</v>
      </c>
      <c r="B63" s="3" t="s">
        <v>970</v>
      </c>
      <c r="C63" s="3" t="s">
        <v>69</v>
      </c>
      <c r="D63" s="5" t="s">
        <v>69</v>
      </c>
      <c r="E63" s="3" t="s">
        <v>69</v>
      </c>
      <c r="F63" s="3" t="s">
        <v>69</v>
      </c>
      <c r="G63" s="3" t="s">
        <v>69</v>
      </c>
      <c r="H63" s="3" t="s">
        <v>69</v>
      </c>
      <c r="I63" s="4" t="s">
        <v>69</v>
      </c>
      <c r="J63" s="7" t="s">
        <v>69</v>
      </c>
      <c r="K63" s="4" t="s">
        <v>69</v>
      </c>
      <c r="L63" s="4" t="s">
        <v>69</v>
      </c>
      <c r="M63" s="4" t="s">
        <v>69</v>
      </c>
      <c r="N63" s="4" t="s">
        <v>69</v>
      </c>
      <c r="O63" s="4" t="s">
        <v>69</v>
      </c>
      <c r="P63" s="4" t="s">
        <v>69</v>
      </c>
      <c r="Q63" s="4">
        <v>0</v>
      </c>
      <c r="R63" s="6" t="s">
        <v>118</v>
      </c>
      <c r="S63" s="3" t="s">
        <v>69</v>
      </c>
      <c r="T63" s="3" t="s">
        <v>69</v>
      </c>
      <c r="U63" s="3" t="s">
        <v>69</v>
      </c>
      <c r="V63" s="3" t="s">
        <v>69</v>
      </c>
      <c r="W63" s="3" t="s">
        <v>69</v>
      </c>
      <c r="X63" s="3" t="s">
        <v>971</v>
      </c>
      <c r="Y63" s="3" t="s">
        <v>972</v>
      </c>
      <c r="Z63" s="3" t="s">
        <v>69</v>
      </c>
      <c r="AA63" s="3" t="s">
        <v>973</v>
      </c>
      <c r="AB63" s="3" t="s">
        <v>974</v>
      </c>
      <c r="AC63" s="6" t="s">
        <v>975</v>
      </c>
      <c r="AD63" s="3" t="s">
        <v>128</v>
      </c>
      <c r="AE63" s="6" t="s">
        <v>69</v>
      </c>
      <c r="AF63" s="6" t="s">
        <v>69</v>
      </c>
      <c r="AG63" s="3" t="s">
        <v>69</v>
      </c>
      <c r="AH63" s="3" t="s">
        <v>78</v>
      </c>
      <c r="AI63" s="3" t="s">
        <v>132</v>
      </c>
      <c r="AJ63" s="3" t="s">
        <v>69</v>
      </c>
      <c r="AK63" s="3" t="s">
        <v>69</v>
      </c>
      <c r="AL63" s="3" t="s">
        <v>976</v>
      </c>
      <c r="AM63" s="3" t="s">
        <v>977</v>
      </c>
      <c r="AN63" s="3" t="s">
        <v>978</v>
      </c>
      <c r="AO63" s="3" t="s">
        <v>69</v>
      </c>
      <c r="AP63" s="3" t="s">
        <v>969</v>
      </c>
      <c r="AQ63" s="3" t="s">
        <v>979</v>
      </c>
      <c r="AR63" s="3" t="s">
        <v>85</v>
      </c>
      <c r="AS63" s="3" t="s">
        <v>86</v>
      </c>
      <c r="AT63" s="3" t="s">
        <v>87</v>
      </c>
      <c r="AU63" s="3" t="s">
        <v>112</v>
      </c>
      <c r="AV63" s="3" t="s">
        <v>69</v>
      </c>
      <c r="AW63" s="3" t="s">
        <v>69</v>
      </c>
      <c r="AX63" s="3" t="s">
        <v>69</v>
      </c>
      <c r="AY63" s="3" t="s">
        <v>90</v>
      </c>
      <c r="AZ63" s="8" t="s">
        <v>69</v>
      </c>
      <c r="BA63" s="3" t="s">
        <v>69</v>
      </c>
      <c r="BB63" s="3" t="s">
        <v>92</v>
      </c>
      <c r="BC63" s="3" t="s">
        <v>93</v>
      </c>
      <c r="BD63" s="12" t="str">
        <f>HYPERLINK("http://brocker-schmuck.de","brocker-schmuck.de")</f>
        <v>brocker-schmuck.de</v>
      </c>
      <c r="BE63" s="3" t="s">
        <v>69</v>
      </c>
      <c r="BF63" s="9">
        <v>50</v>
      </c>
      <c r="BG63" s="3" t="s">
        <v>980</v>
      </c>
      <c r="BH63" s="3" t="s">
        <v>69</v>
      </c>
      <c r="BI63" s="3" t="s">
        <v>69</v>
      </c>
      <c r="BJ63" s="10">
        <v>1973</v>
      </c>
      <c r="BK63" s="3" t="s">
        <v>69</v>
      </c>
      <c r="BL63" s="1">
        <v>45703</v>
      </c>
      <c r="BM63" s="3" t="s">
        <v>69</v>
      </c>
      <c r="BN63" s="3" t="s">
        <v>69</v>
      </c>
      <c r="BO63" s="12" t="str">
        <f>HYPERLINK("https://my.pitchbook.com?c=609659-56","View Company Online")</f>
        <v>View Company Online</v>
      </c>
    </row>
    <row r="64" spans="1:67" x14ac:dyDescent="0.3">
      <c r="A64" s="13" t="s">
        <v>981</v>
      </c>
      <c r="B64" s="13" t="s">
        <v>982</v>
      </c>
      <c r="C64" s="13" t="s">
        <v>69</v>
      </c>
      <c r="D64" s="21" t="s">
        <v>69</v>
      </c>
      <c r="E64" s="13" t="s">
        <v>69</v>
      </c>
      <c r="F64" s="13" t="s">
        <v>69</v>
      </c>
      <c r="G64" s="13" t="s">
        <v>69</v>
      </c>
      <c r="H64" s="13" t="s">
        <v>69</v>
      </c>
      <c r="I64" s="19" t="s">
        <v>69</v>
      </c>
      <c r="J64" s="20" t="s">
        <v>69</v>
      </c>
      <c r="K64" s="19" t="s">
        <v>69</v>
      </c>
      <c r="L64" s="19" t="s">
        <v>69</v>
      </c>
      <c r="M64" s="19" t="s">
        <v>69</v>
      </c>
      <c r="N64" s="19" t="s">
        <v>69</v>
      </c>
      <c r="O64" s="19" t="s">
        <v>69</v>
      </c>
      <c r="P64" s="19" t="s">
        <v>69</v>
      </c>
      <c r="Q64" s="19" t="s">
        <v>69</v>
      </c>
      <c r="R64" s="18" t="s">
        <v>69</v>
      </c>
      <c r="S64" s="13" t="s">
        <v>69</v>
      </c>
      <c r="T64" s="13" t="s">
        <v>69</v>
      </c>
      <c r="U64" s="13" t="s">
        <v>69</v>
      </c>
      <c r="V64" s="13" t="s">
        <v>69</v>
      </c>
      <c r="W64" s="13" t="s">
        <v>69</v>
      </c>
      <c r="X64" s="13" t="s">
        <v>939</v>
      </c>
      <c r="Y64" s="13" t="s">
        <v>983</v>
      </c>
      <c r="Z64" s="13" t="s">
        <v>69</v>
      </c>
      <c r="AA64" s="13" t="s">
        <v>941</v>
      </c>
      <c r="AB64" s="13" t="s">
        <v>941</v>
      </c>
      <c r="AC64" s="18" t="s">
        <v>69</v>
      </c>
      <c r="AD64" s="13" t="s">
        <v>943</v>
      </c>
      <c r="AE64" s="18" t="s">
        <v>69</v>
      </c>
      <c r="AF64" s="18" t="s">
        <v>69</v>
      </c>
      <c r="AG64" s="13" t="s">
        <v>69</v>
      </c>
      <c r="AH64" s="13" t="s">
        <v>912</v>
      </c>
      <c r="AI64" s="13" t="s">
        <v>912</v>
      </c>
      <c r="AJ64" s="13" t="s">
        <v>69</v>
      </c>
      <c r="AK64" s="13" t="s">
        <v>69</v>
      </c>
      <c r="AL64" s="13" t="s">
        <v>984</v>
      </c>
      <c r="AM64" s="13" t="s">
        <v>69</v>
      </c>
      <c r="AN64" s="13" t="s">
        <v>69</v>
      </c>
      <c r="AO64" s="13" t="s">
        <v>69</v>
      </c>
      <c r="AP64" s="13" t="s">
        <v>981</v>
      </c>
      <c r="AQ64" s="13" t="s">
        <v>985</v>
      </c>
      <c r="AR64" s="13" t="s">
        <v>422</v>
      </c>
      <c r="AS64" s="13" t="s">
        <v>986</v>
      </c>
      <c r="AT64" s="13" t="s">
        <v>987</v>
      </c>
      <c r="AU64" s="13" t="s">
        <v>988</v>
      </c>
      <c r="AV64" s="13" t="s">
        <v>69</v>
      </c>
      <c r="AW64" s="13" t="s">
        <v>69</v>
      </c>
      <c r="AX64" s="13" t="s">
        <v>69</v>
      </c>
      <c r="AY64" s="13" t="s">
        <v>90</v>
      </c>
      <c r="AZ64" s="17" t="s">
        <v>69</v>
      </c>
      <c r="BA64" s="13" t="s">
        <v>69</v>
      </c>
      <c r="BB64" s="13" t="s">
        <v>92</v>
      </c>
      <c r="BC64" s="13" t="s">
        <v>93</v>
      </c>
      <c r="BD64" s="11" t="str">
        <f>HYPERLINK("http://arabcomputers.com.sa","arabcomputers.com.sa")</f>
        <v>arabcomputers.com.sa</v>
      </c>
      <c r="BE64" s="11" t="str">
        <f>HYPERLINK("http://www.linkedin.com/company/arabcomputers","http://www.linkedin.com/company/arabcomputers")</f>
        <v>http://www.linkedin.com/company/arabcomputers</v>
      </c>
      <c r="BF64" s="16">
        <v>81</v>
      </c>
      <c r="BG64" s="13" t="s">
        <v>989</v>
      </c>
      <c r="BH64" s="13" t="s">
        <v>69</v>
      </c>
      <c r="BI64" s="13" t="s">
        <v>69</v>
      </c>
      <c r="BJ64" s="15" t="s">
        <v>69</v>
      </c>
      <c r="BK64" s="13" t="s">
        <v>69</v>
      </c>
      <c r="BL64" s="14">
        <v>45587</v>
      </c>
      <c r="BM64" s="13" t="s">
        <v>69</v>
      </c>
      <c r="BN64" s="13" t="s">
        <v>69</v>
      </c>
      <c r="BO64" s="11" t="str">
        <f>HYPERLINK("https://my.pitchbook.com?c=699015-88","View Company Online")</f>
        <v>View Company Online</v>
      </c>
    </row>
    <row r="65" spans="1:67" x14ac:dyDescent="0.3">
      <c r="A65" s="3" t="s">
        <v>990</v>
      </c>
      <c r="B65" s="3" t="s">
        <v>991</v>
      </c>
      <c r="C65" s="3" t="s">
        <v>69</v>
      </c>
      <c r="D65" s="5" t="s">
        <v>69</v>
      </c>
      <c r="E65" s="3" t="s">
        <v>69</v>
      </c>
      <c r="F65" s="3" t="s">
        <v>69</v>
      </c>
      <c r="G65" s="3" t="s">
        <v>69</v>
      </c>
      <c r="H65" s="3" t="s">
        <v>69</v>
      </c>
      <c r="I65" s="4" t="s">
        <v>69</v>
      </c>
      <c r="J65" s="7" t="s">
        <v>69</v>
      </c>
      <c r="K65" s="4" t="s">
        <v>69</v>
      </c>
      <c r="L65" s="4" t="s">
        <v>69</v>
      </c>
      <c r="M65" s="4" t="s">
        <v>69</v>
      </c>
      <c r="N65" s="4" t="s">
        <v>69</v>
      </c>
      <c r="O65" s="4" t="s">
        <v>69</v>
      </c>
      <c r="P65" s="4" t="s">
        <v>69</v>
      </c>
      <c r="Q65" s="4" t="s">
        <v>69</v>
      </c>
      <c r="R65" s="6" t="s">
        <v>69</v>
      </c>
      <c r="S65" s="3" t="s">
        <v>69</v>
      </c>
      <c r="T65" s="3" t="s">
        <v>69</v>
      </c>
      <c r="U65" s="3" t="s">
        <v>69</v>
      </c>
      <c r="V65" s="3" t="s">
        <v>69</v>
      </c>
      <c r="W65" s="3" t="s">
        <v>69</v>
      </c>
      <c r="X65" s="3" t="s">
        <v>992</v>
      </c>
      <c r="Y65" s="3" t="s">
        <v>69</v>
      </c>
      <c r="Z65" s="3" t="s">
        <v>69</v>
      </c>
      <c r="AA65" s="3" t="s">
        <v>993</v>
      </c>
      <c r="AB65" s="3" t="s">
        <v>994</v>
      </c>
      <c r="AC65" s="6" t="s">
        <v>995</v>
      </c>
      <c r="AD65" s="3" t="s">
        <v>378</v>
      </c>
      <c r="AE65" s="6" t="s">
        <v>69</v>
      </c>
      <c r="AF65" s="6" t="s">
        <v>69</v>
      </c>
      <c r="AG65" s="3" t="s">
        <v>69</v>
      </c>
      <c r="AH65" s="3" t="s">
        <v>379</v>
      </c>
      <c r="AI65" s="3" t="s">
        <v>380</v>
      </c>
      <c r="AJ65" s="3" t="s">
        <v>69</v>
      </c>
      <c r="AK65" s="3" t="s">
        <v>69</v>
      </c>
      <c r="AL65" s="3" t="s">
        <v>69</v>
      </c>
      <c r="AM65" s="3" t="s">
        <v>69</v>
      </c>
      <c r="AN65" s="3" t="s">
        <v>69</v>
      </c>
      <c r="AO65" s="3" t="s">
        <v>69</v>
      </c>
      <c r="AP65" s="3" t="s">
        <v>990</v>
      </c>
      <c r="AQ65" s="3" t="s">
        <v>996</v>
      </c>
      <c r="AR65" s="3" t="s">
        <v>85</v>
      </c>
      <c r="AS65" s="3" t="s">
        <v>623</v>
      </c>
      <c r="AT65" s="3" t="s">
        <v>997</v>
      </c>
      <c r="AU65" s="3" t="s">
        <v>998</v>
      </c>
      <c r="AV65" s="3" t="s">
        <v>69</v>
      </c>
      <c r="AW65" s="3" t="s">
        <v>999</v>
      </c>
      <c r="AX65" s="3" t="s">
        <v>69</v>
      </c>
      <c r="AY65" s="3" t="s">
        <v>90</v>
      </c>
      <c r="AZ65" s="8" t="s">
        <v>69</v>
      </c>
      <c r="BA65" s="3" t="s">
        <v>91</v>
      </c>
      <c r="BB65" s="3" t="s">
        <v>92</v>
      </c>
      <c r="BC65" s="3" t="s">
        <v>93</v>
      </c>
      <c r="BD65" s="12" t="str">
        <f>HYPERLINK("http://arizonawildcats.com","arizonawildcats.com")</f>
        <v>arizonawildcats.com</v>
      </c>
      <c r="BE65" s="12" t="str">
        <f>HYPERLINK("http://www.linkedin.com/company/arizona-athletics","http://www.linkedin.com/company/arizona-athletics")</f>
        <v>http://www.linkedin.com/company/arizona-athletics</v>
      </c>
      <c r="BF65" s="9">
        <v>207</v>
      </c>
      <c r="BG65" s="3" t="s">
        <v>1000</v>
      </c>
      <c r="BH65" s="3" t="s">
        <v>69</v>
      </c>
      <c r="BI65" s="3" t="s">
        <v>69</v>
      </c>
      <c r="BJ65" s="10">
        <v>2022</v>
      </c>
      <c r="BK65" s="3" t="s">
        <v>69</v>
      </c>
      <c r="BL65" s="1">
        <v>45159</v>
      </c>
      <c r="BM65" s="3" t="s">
        <v>69</v>
      </c>
      <c r="BN65" s="3" t="s">
        <v>69</v>
      </c>
      <c r="BO65" s="12" t="str">
        <f>HYPERLINK("https://my.pitchbook.com?c=263344-06","View Company Online")</f>
        <v>View Company Online</v>
      </c>
    </row>
    <row r="66" spans="1:67" x14ac:dyDescent="0.3">
      <c r="A66" s="13" t="s">
        <v>1001</v>
      </c>
      <c r="B66" s="13" t="s">
        <v>1002</v>
      </c>
      <c r="C66" s="13" t="s">
        <v>69</v>
      </c>
      <c r="D66" s="21" t="s">
        <v>69</v>
      </c>
      <c r="E66" s="13" t="s">
        <v>69</v>
      </c>
      <c r="F66" s="13" t="s">
        <v>69</v>
      </c>
      <c r="G66" s="13" t="s">
        <v>69</v>
      </c>
      <c r="H66" s="13" t="s">
        <v>69</v>
      </c>
      <c r="I66" s="19" t="s">
        <v>69</v>
      </c>
      <c r="J66" s="20" t="s">
        <v>69</v>
      </c>
      <c r="K66" s="19" t="s">
        <v>69</v>
      </c>
      <c r="L66" s="19" t="s">
        <v>69</v>
      </c>
      <c r="M66" s="19" t="s">
        <v>69</v>
      </c>
      <c r="N66" s="19" t="s">
        <v>69</v>
      </c>
      <c r="O66" s="19" t="s">
        <v>69</v>
      </c>
      <c r="P66" s="19" t="s">
        <v>69</v>
      </c>
      <c r="Q66" s="19" t="s">
        <v>69</v>
      </c>
      <c r="R66" s="18" t="s">
        <v>69</v>
      </c>
      <c r="S66" s="13" t="s">
        <v>69</v>
      </c>
      <c r="T66" s="13" t="s">
        <v>69</v>
      </c>
      <c r="U66" s="13" t="s">
        <v>69</v>
      </c>
      <c r="V66" s="13" t="s">
        <v>69</v>
      </c>
      <c r="W66" s="13" t="s">
        <v>69</v>
      </c>
      <c r="X66" s="13" t="s">
        <v>1003</v>
      </c>
      <c r="Y66" s="13" t="s">
        <v>1004</v>
      </c>
      <c r="Z66" s="13" t="s">
        <v>69</v>
      </c>
      <c r="AA66" s="13" t="s">
        <v>1005</v>
      </c>
      <c r="AB66" s="13" t="s">
        <v>1006</v>
      </c>
      <c r="AC66" s="18" t="s">
        <v>1007</v>
      </c>
      <c r="AD66" s="13" t="s">
        <v>943</v>
      </c>
      <c r="AE66" s="18" t="s">
        <v>69</v>
      </c>
      <c r="AF66" s="18" t="s">
        <v>69</v>
      </c>
      <c r="AG66" s="13" t="s">
        <v>69</v>
      </c>
      <c r="AH66" s="13" t="s">
        <v>912</v>
      </c>
      <c r="AI66" s="13" t="s">
        <v>912</v>
      </c>
      <c r="AJ66" s="13" t="s">
        <v>69</v>
      </c>
      <c r="AK66" s="13" t="s">
        <v>69</v>
      </c>
      <c r="AL66" s="13" t="s">
        <v>69</v>
      </c>
      <c r="AM66" s="13" t="s">
        <v>69</v>
      </c>
      <c r="AN66" s="13" t="s">
        <v>69</v>
      </c>
      <c r="AO66" s="13" t="s">
        <v>69</v>
      </c>
      <c r="AP66" s="13" t="s">
        <v>1001</v>
      </c>
      <c r="AQ66" s="13" t="s">
        <v>1008</v>
      </c>
      <c r="AR66" s="13" t="s">
        <v>85</v>
      </c>
      <c r="AS66" s="13" t="s">
        <v>211</v>
      </c>
      <c r="AT66" s="13" t="s">
        <v>299</v>
      </c>
      <c r="AU66" s="13" t="s">
        <v>300</v>
      </c>
      <c r="AV66" s="13" t="s">
        <v>69</v>
      </c>
      <c r="AW66" s="13" t="s">
        <v>69</v>
      </c>
      <c r="AX66" s="13" t="s">
        <v>69</v>
      </c>
      <c r="AY66" s="13" t="s">
        <v>90</v>
      </c>
      <c r="AZ66" s="17" t="s">
        <v>69</v>
      </c>
      <c r="BA66" s="13" t="s">
        <v>69</v>
      </c>
      <c r="BB66" s="13" t="s">
        <v>92</v>
      </c>
      <c r="BC66" s="13" t="s">
        <v>93</v>
      </c>
      <c r="BD66" s="11" t="str">
        <f>HYPERLINK("http://attarunited.com","attarunited.com")</f>
        <v>attarunited.com</v>
      </c>
      <c r="BE66" s="11" t="str">
        <f>HYPERLINK("http://www.linkedin.com/company/attarunited","http://www.linkedin.com/company/attarunited")</f>
        <v>http://www.linkedin.com/company/attarunited</v>
      </c>
      <c r="BF66" s="16">
        <v>55</v>
      </c>
      <c r="BG66" s="13" t="s">
        <v>1009</v>
      </c>
      <c r="BH66" s="13" t="s">
        <v>69</v>
      </c>
      <c r="BI66" s="13" t="s">
        <v>69</v>
      </c>
      <c r="BJ66" s="15">
        <v>2013</v>
      </c>
      <c r="BK66" s="13" t="s">
        <v>69</v>
      </c>
      <c r="BL66" s="14">
        <v>45508</v>
      </c>
      <c r="BM66" s="13" t="s">
        <v>69</v>
      </c>
      <c r="BN66" s="13" t="s">
        <v>69</v>
      </c>
      <c r="BO66" s="11" t="str">
        <f>HYPERLINK("https://my.pitchbook.com?c=619476-22","View Company Online")</f>
        <v>View Company Online</v>
      </c>
    </row>
    <row r="67" spans="1:67" x14ac:dyDescent="0.3">
      <c r="A67" s="3" t="s">
        <v>1010</v>
      </c>
      <c r="B67" s="3" t="s">
        <v>1011</v>
      </c>
      <c r="C67" s="3" t="s">
        <v>69</v>
      </c>
      <c r="D67" s="5" t="s">
        <v>69</v>
      </c>
      <c r="E67" s="3" t="s">
        <v>69</v>
      </c>
      <c r="F67" s="3" t="s">
        <v>69</v>
      </c>
      <c r="G67" s="3" t="s">
        <v>69</v>
      </c>
      <c r="H67" s="3" t="s">
        <v>69</v>
      </c>
      <c r="I67" s="4" t="s">
        <v>69</v>
      </c>
      <c r="J67" s="7" t="s">
        <v>69</v>
      </c>
      <c r="K67" s="4" t="s">
        <v>69</v>
      </c>
      <c r="L67" s="4" t="s">
        <v>69</v>
      </c>
      <c r="M67" s="4" t="s">
        <v>69</v>
      </c>
      <c r="N67" s="4" t="s">
        <v>69</v>
      </c>
      <c r="O67" s="4" t="s">
        <v>69</v>
      </c>
      <c r="P67" s="4" t="s">
        <v>69</v>
      </c>
      <c r="Q67" s="4" t="s">
        <v>69</v>
      </c>
      <c r="R67" s="6" t="s">
        <v>69</v>
      </c>
      <c r="S67" s="3" t="s">
        <v>69</v>
      </c>
      <c r="T67" s="3" t="s">
        <v>69</v>
      </c>
      <c r="U67" s="3" t="s">
        <v>69</v>
      </c>
      <c r="V67" s="3" t="s">
        <v>69</v>
      </c>
      <c r="W67" s="3" t="s">
        <v>69</v>
      </c>
      <c r="X67" s="3" t="s">
        <v>1012</v>
      </c>
      <c r="Y67" s="3" t="s">
        <v>1013</v>
      </c>
      <c r="Z67" s="3" t="s">
        <v>69</v>
      </c>
      <c r="AA67" s="3" t="s">
        <v>1014</v>
      </c>
      <c r="AB67" s="3" t="s">
        <v>1015</v>
      </c>
      <c r="AC67" s="6" t="s">
        <v>1016</v>
      </c>
      <c r="AD67" s="3" t="s">
        <v>1017</v>
      </c>
      <c r="AE67" s="6" t="s">
        <v>1018</v>
      </c>
      <c r="AF67" s="6" t="s">
        <v>69</v>
      </c>
      <c r="AG67" s="3" t="s">
        <v>1019</v>
      </c>
      <c r="AH67" s="3" t="s">
        <v>1020</v>
      </c>
      <c r="AI67" s="3" t="s">
        <v>1020</v>
      </c>
      <c r="AJ67" s="3" t="s">
        <v>69</v>
      </c>
      <c r="AK67" s="3" t="s">
        <v>69</v>
      </c>
      <c r="AL67" s="3" t="s">
        <v>69</v>
      </c>
      <c r="AM67" s="3" t="s">
        <v>69</v>
      </c>
      <c r="AN67" s="3" t="s">
        <v>69</v>
      </c>
      <c r="AO67" s="3" t="s">
        <v>69</v>
      </c>
      <c r="AP67" s="3" t="s">
        <v>1010</v>
      </c>
      <c r="AQ67" s="3" t="s">
        <v>1021</v>
      </c>
      <c r="AR67" s="3" t="s">
        <v>85</v>
      </c>
      <c r="AS67" s="3" t="s">
        <v>711</v>
      </c>
      <c r="AT67" s="3" t="s">
        <v>1022</v>
      </c>
      <c r="AU67" s="3" t="s">
        <v>1023</v>
      </c>
      <c r="AV67" s="3" t="s">
        <v>69</v>
      </c>
      <c r="AW67" s="3" t="s">
        <v>1024</v>
      </c>
      <c r="AX67" s="3" t="s">
        <v>69</v>
      </c>
      <c r="AY67" s="3" t="s">
        <v>90</v>
      </c>
      <c r="AZ67" s="8" t="s">
        <v>69</v>
      </c>
      <c r="BA67" s="3" t="s">
        <v>69</v>
      </c>
      <c r="BB67" s="3" t="s">
        <v>92</v>
      </c>
      <c r="BC67" s="3" t="s">
        <v>93</v>
      </c>
      <c r="BD67" s="12" t="str">
        <f>HYPERLINK("http://auroraexpeditions.com.au","auroraexpeditions.com.au")</f>
        <v>auroraexpeditions.com.au</v>
      </c>
      <c r="BE67" s="12" t="str">
        <f>HYPERLINK("http://www.linkedin.com/company/aurora-expeditions","http://www.linkedin.com/company/aurora-expeditions")</f>
        <v>http://www.linkedin.com/company/aurora-expeditions</v>
      </c>
      <c r="BF67" s="9">
        <v>102</v>
      </c>
      <c r="BG67" s="3" t="s">
        <v>1025</v>
      </c>
      <c r="BH67" s="3" t="s">
        <v>69</v>
      </c>
      <c r="BI67" s="3" t="s">
        <v>69</v>
      </c>
      <c r="BJ67" s="10">
        <v>1991</v>
      </c>
      <c r="BK67" s="3" t="s">
        <v>69</v>
      </c>
      <c r="BL67" s="1">
        <v>45301</v>
      </c>
      <c r="BM67" s="3" t="s">
        <v>69</v>
      </c>
      <c r="BN67" s="3" t="s">
        <v>69</v>
      </c>
      <c r="BO67" s="12" t="str">
        <f>HYPERLINK("https://my.pitchbook.com?c=546061-60","View Company Online")</f>
        <v>View Company Online</v>
      </c>
    </row>
    <row r="68" spans="1:67" x14ac:dyDescent="0.3">
      <c r="A68" s="13" t="s">
        <v>1026</v>
      </c>
      <c r="B68" s="13" t="s">
        <v>1027</v>
      </c>
      <c r="C68" s="13" t="s">
        <v>69</v>
      </c>
      <c r="D68" s="21" t="s">
        <v>69</v>
      </c>
      <c r="E68" s="13" t="s">
        <v>69</v>
      </c>
      <c r="F68" s="13" t="s">
        <v>69</v>
      </c>
      <c r="G68" s="13" t="s">
        <v>69</v>
      </c>
      <c r="H68" s="13" t="s">
        <v>69</v>
      </c>
      <c r="I68" s="19" t="s">
        <v>69</v>
      </c>
      <c r="J68" s="20" t="s">
        <v>69</v>
      </c>
      <c r="K68" s="19" t="s">
        <v>69</v>
      </c>
      <c r="L68" s="19" t="s">
        <v>69</v>
      </c>
      <c r="M68" s="19" t="s">
        <v>69</v>
      </c>
      <c r="N68" s="19" t="s">
        <v>69</v>
      </c>
      <c r="O68" s="19" t="s">
        <v>69</v>
      </c>
      <c r="P68" s="19" t="s">
        <v>69</v>
      </c>
      <c r="Q68" s="19" t="s">
        <v>69</v>
      </c>
      <c r="R68" s="18" t="s">
        <v>69</v>
      </c>
      <c r="S68" s="13" t="s">
        <v>69</v>
      </c>
      <c r="T68" s="13" t="s">
        <v>69</v>
      </c>
      <c r="U68" s="13" t="s">
        <v>69</v>
      </c>
      <c r="V68" s="13" t="s">
        <v>69</v>
      </c>
      <c r="W68" s="13" t="s">
        <v>69</v>
      </c>
      <c r="X68" s="13" t="s">
        <v>1028</v>
      </c>
      <c r="Y68" s="13" t="s">
        <v>1029</v>
      </c>
      <c r="Z68" s="13" t="s">
        <v>1030</v>
      </c>
      <c r="AA68" s="13" t="s">
        <v>1031</v>
      </c>
      <c r="AB68" s="13" t="s">
        <v>1032</v>
      </c>
      <c r="AC68" s="18" t="s">
        <v>1033</v>
      </c>
      <c r="AD68" s="13" t="s">
        <v>1034</v>
      </c>
      <c r="AE68" s="18" t="s">
        <v>1035</v>
      </c>
      <c r="AF68" s="18" t="s">
        <v>1036</v>
      </c>
      <c r="AG68" s="13" t="s">
        <v>1037</v>
      </c>
      <c r="AH68" s="13" t="s">
        <v>379</v>
      </c>
      <c r="AI68" s="13" t="s">
        <v>380</v>
      </c>
      <c r="AJ68" s="13" t="s">
        <v>69</v>
      </c>
      <c r="AK68" s="13" t="s">
        <v>69</v>
      </c>
      <c r="AL68" s="13" t="s">
        <v>1038</v>
      </c>
      <c r="AM68" s="13" t="s">
        <v>69</v>
      </c>
      <c r="AN68" s="13" t="s">
        <v>69</v>
      </c>
      <c r="AO68" s="13" t="s">
        <v>69</v>
      </c>
      <c r="AP68" s="13" t="s">
        <v>1026</v>
      </c>
      <c r="AQ68" s="13" t="s">
        <v>1039</v>
      </c>
      <c r="AR68" s="13" t="s">
        <v>185</v>
      </c>
      <c r="AS68" s="13" t="s">
        <v>348</v>
      </c>
      <c r="AT68" s="13" t="s">
        <v>349</v>
      </c>
      <c r="AU68" s="13" t="s">
        <v>1040</v>
      </c>
      <c r="AV68" s="13" t="s">
        <v>891</v>
      </c>
      <c r="AW68" s="13" t="s">
        <v>1041</v>
      </c>
      <c r="AX68" s="13" t="s">
        <v>69</v>
      </c>
      <c r="AY68" s="13" t="s">
        <v>90</v>
      </c>
      <c r="AZ68" s="17" t="s">
        <v>69</v>
      </c>
      <c r="BA68" s="13" t="s">
        <v>69</v>
      </c>
      <c r="BB68" s="13" t="s">
        <v>92</v>
      </c>
      <c r="BC68" s="13" t="s">
        <v>93</v>
      </c>
      <c r="BD68" s="11" t="str">
        <f>HYPERLINK("http://avantesecurity.com","avantesecurity.com")</f>
        <v>avantesecurity.com</v>
      </c>
      <c r="BE68" s="11" t="str">
        <f>HYPERLINK("http://www.linkedin.com/company/avante-security-inc","http://www.linkedin.com/company/avante-security-inc")</f>
        <v>http://www.linkedin.com/company/avante-security-inc</v>
      </c>
      <c r="BF68" s="16">
        <v>104</v>
      </c>
      <c r="BG68" s="13" t="s">
        <v>1042</v>
      </c>
      <c r="BH68" s="13" t="s">
        <v>69</v>
      </c>
      <c r="BI68" s="13" t="s">
        <v>69</v>
      </c>
      <c r="BJ68" s="15">
        <v>1996</v>
      </c>
      <c r="BK68" s="13" t="s">
        <v>69</v>
      </c>
      <c r="BL68" s="14">
        <v>45492</v>
      </c>
      <c r="BM68" s="13" t="s">
        <v>69</v>
      </c>
      <c r="BN68" s="13" t="s">
        <v>69</v>
      </c>
      <c r="BO68" s="11" t="str">
        <f>HYPERLINK("https://my.pitchbook.com?c=147567-25","View Company Online")</f>
        <v>View Company Online</v>
      </c>
    </row>
    <row r="69" spans="1:67" x14ac:dyDescent="0.3">
      <c r="A69" s="3" t="s">
        <v>1043</v>
      </c>
      <c r="B69" s="3" t="s">
        <v>1044</v>
      </c>
      <c r="C69" s="3" t="s">
        <v>69</v>
      </c>
      <c r="D69" s="5" t="s">
        <v>69</v>
      </c>
      <c r="E69" s="3" t="s">
        <v>69</v>
      </c>
      <c r="F69" s="3" t="s">
        <v>69</v>
      </c>
      <c r="G69" s="3" t="s">
        <v>69</v>
      </c>
      <c r="H69" s="3" t="s">
        <v>69</v>
      </c>
      <c r="I69" s="4" t="s">
        <v>69</v>
      </c>
      <c r="J69" s="7" t="s">
        <v>69</v>
      </c>
      <c r="K69" s="4" t="s">
        <v>69</v>
      </c>
      <c r="L69" s="4" t="s">
        <v>69</v>
      </c>
      <c r="M69" s="4" t="s">
        <v>69</v>
      </c>
      <c r="N69" s="4" t="s">
        <v>69</v>
      </c>
      <c r="O69" s="4" t="s">
        <v>69</v>
      </c>
      <c r="P69" s="4" t="s">
        <v>69</v>
      </c>
      <c r="Q69" s="4" t="s">
        <v>69</v>
      </c>
      <c r="R69" s="6" t="s">
        <v>69</v>
      </c>
      <c r="S69" s="3" t="s">
        <v>1045</v>
      </c>
      <c r="T69" s="3" t="s">
        <v>1046</v>
      </c>
      <c r="U69" s="3" t="s">
        <v>1047</v>
      </c>
      <c r="V69" s="3" t="s">
        <v>1048</v>
      </c>
      <c r="W69" s="3" t="s">
        <v>1049</v>
      </c>
      <c r="X69" s="3" t="s">
        <v>1050</v>
      </c>
      <c r="Y69" s="3" t="s">
        <v>1051</v>
      </c>
      <c r="Z69" s="3" t="s">
        <v>69</v>
      </c>
      <c r="AA69" s="3" t="s">
        <v>1052</v>
      </c>
      <c r="AB69" s="3" t="s">
        <v>1053</v>
      </c>
      <c r="AC69" s="6" t="s">
        <v>1054</v>
      </c>
      <c r="AD69" s="3" t="s">
        <v>378</v>
      </c>
      <c r="AE69" s="6" t="s">
        <v>1049</v>
      </c>
      <c r="AF69" s="6" t="s">
        <v>69</v>
      </c>
      <c r="AG69" s="3" t="s">
        <v>1055</v>
      </c>
      <c r="AH69" s="3" t="s">
        <v>379</v>
      </c>
      <c r="AI69" s="3" t="s">
        <v>380</v>
      </c>
      <c r="AJ69" s="3" t="s">
        <v>69</v>
      </c>
      <c r="AK69" s="3" t="s">
        <v>69</v>
      </c>
      <c r="AL69" s="3" t="s">
        <v>1056</v>
      </c>
      <c r="AM69" s="3" t="s">
        <v>69</v>
      </c>
      <c r="AN69" s="3" t="s">
        <v>69</v>
      </c>
      <c r="AO69" s="3" t="s">
        <v>69</v>
      </c>
      <c r="AP69" s="3" t="s">
        <v>1043</v>
      </c>
      <c r="AQ69" s="3" t="s">
        <v>1057</v>
      </c>
      <c r="AR69" s="3" t="s">
        <v>85</v>
      </c>
      <c r="AS69" s="3" t="s">
        <v>1058</v>
      </c>
      <c r="AT69" s="3" t="s">
        <v>1059</v>
      </c>
      <c r="AU69" s="3" t="s">
        <v>1060</v>
      </c>
      <c r="AV69" s="3" t="s">
        <v>69</v>
      </c>
      <c r="AW69" s="3" t="s">
        <v>1061</v>
      </c>
      <c r="AX69" s="3" t="s">
        <v>69</v>
      </c>
      <c r="AY69" s="3" t="s">
        <v>90</v>
      </c>
      <c r="AZ69" s="8" t="s">
        <v>69</v>
      </c>
      <c r="BA69" s="3" t="s">
        <v>91</v>
      </c>
      <c r="BB69" s="3" t="s">
        <v>92</v>
      </c>
      <c r="BC69" s="3" t="s">
        <v>93</v>
      </c>
      <c r="BD69" s="12" t="str">
        <f>HYPERLINK("http://www.backtobasicslearning.com","www.backtobasicslearning.com")</f>
        <v>www.backtobasicslearning.com</v>
      </c>
      <c r="BE69" s="12" t="str">
        <f>HYPERLINK("http://www.linkedin.com/company/back-to-basics-learning-dynamics","http://www.linkedin.com/company/back-to-basics-learning-dynamics")</f>
        <v>http://www.linkedin.com/company/back-to-basics-learning-dynamics</v>
      </c>
      <c r="BF69" s="9">
        <v>94</v>
      </c>
      <c r="BG69" s="3" t="s">
        <v>1062</v>
      </c>
      <c r="BH69" s="3" t="s">
        <v>69</v>
      </c>
      <c r="BI69" s="3" t="s">
        <v>69</v>
      </c>
      <c r="BJ69" s="10">
        <v>1985</v>
      </c>
      <c r="BK69" s="3" t="s">
        <v>69</v>
      </c>
      <c r="BL69" s="1">
        <v>45625</v>
      </c>
      <c r="BM69" s="3" t="s">
        <v>69</v>
      </c>
      <c r="BN69" s="3" t="s">
        <v>69</v>
      </c>
      <c r="BO69" s="12" t="str">
        <f>HYPERLINK("https://my.pitchbook.com?c=143621-11","View Company Online")</f>
        <v>View Company Online</v>
      </c>
    </row>
    <row r="70" spans="1:67" x14ac:dyDescent="0.3">
      <c r="A70" s="13" t="s">
        <v>1063</v>
      </c>
      <c r="B70" s="13" t="s">
        <v>1064</v>
      </c>
      <c r="C70" s="13" t="s">
        <v>69</v>
      </c>
      <c r="D70" s="21" t="s">
        <v>69</v>
      </c>
      <c r="E70" s="13" t="s">
        <v>69</v>
      </c>
      <c r="F70" s="13" t="s">
        <v>69</v>
      </c>
      <c r="G70" s="13" t="s">
        <v>69</v>
      </c>
      <c r="H70" s="13" t="s">
        <v>69</v>
      </c>
      <c r="I70" s="19" t="s">
        <v>69</v>
      </c>
      <c r="J70" s="20" t="s">
        <v>69</v>
      </c>
      <c r="K70" s="19" t="s">
        <v>69</v>
      </c>
      <c r="L70" s="19" t="s">
        <v>69</v>
      </c>
      <c r="M70" s="19" t="s">
        <v>69</v>
      </c>
      <c r="N70" s="19" t="s">
        <v>69</v>
      </c>
      <c r="O70" s="19" t="s">
        <v>69</v>
      </c>
      <c r="P70" s="19" t="s">
        <v>69</v>
      </c>
      <c r="Q70" s="19" t="s">
        <v>69</v>
      </c>
      <c r="R70" s="18" t="s">
        <v>69</v>
      </c>
      <c r="S70" s="13" t="s">
        <v>69</v>
      </c>
      <c r="T70" s="13" t="s">
        <v>69</v>
      </c>
      <c r="U70" s="13" t="s">
        <v>69</v>
      </c>
      <c r="V70" s="13" t="s">
        <v>69</v>
      </c>
      <c r="W70" s="13" t="s">
        <v>69</v>
      </c>
      <c r="X70" s="13" t="s">
        <v>1065</v>
      </c>
      <c r="Y70" s="13" t="s">
        <v>69</v>
      </c>
      <c r="Z70" s="13" t="s">
        <v>69</v>
      </c>
      <c r="AA70" s="13" t="s">
        <v>1066</v>
      </c>
      <c r="AB70" s="13" t="s">
        <v>1067</v>
      </c>
      <c r="AC70" s="18" t="s">
        <v>1068</v>
      </c>
      <c r="AD70" s="13" t="s">
        <v>378</v>
      </c>
      <c r="AE70" s="18" t="s">
        <v>69</v>
      </c>
      <c r="AF70" s="18" t="s">
        <v>69</v>
      </c>
      <c r="AG70" s="13" t="s">
        <v>69</v>
      </c>
      <c r="AH70" s="13" t="s">
        <v>379</v>
      </c>
      <c r="AI70" s="13" t="s">
        <v>380</v>
      </c>
      <c r="AJ70" s="13" t="s">
        <v>69</v>
      </c>
      <c r="AK70" s="13" t="s">
        <v>69</v>
      </c>
      <c r="AL70" s="13" t="s">
        <v>69</v>
      </c>
      <c r="AM70" s="13" t="s">
        <v>69</v>
      </c>
      <c r="AN70" s="13" t="s">
        <v>69</v>
      </c>
      <c r="AO70" s="13" t="s">
        <v>69</v>
      </c>
      <c r="AP70" s="13" t="s">
        <v>1063</v>
      </c>
      <c r="AQ70" s="13" t="s">
        <v>1069</v>
      </c>
      <c r="AR70" s="13" t="s">
        <v>185</v>
      </c>
      <c r="AS70" s="13" t="s">
        <v>1070</v>
      </c>
      <c r="AT70" s="13" t="s">
        <v>1071</v>
      </c>
      <c r="AU70" s="13" t="s">
        <v>1072</v>
      </c>
      <c r="AV70" s="13" t="s">
        <v>250</v>
      </c>
      <c r="AW70" s="13" t="s">
        <v>1073</v>
      </c>
      <c r="AX70" s="13" t="s">
        <v>69</v>
      </c>
      <c r="AY70" s="13" t="s">
        <v>90</v>
      </c>
      <c r="AZ70" s="17" t="s">
        <v>69</v>
      </c>
      <c r="BA70" s="13" t="s">
        <v>69</v>
      </c>
      <c r="BB70" s="13" t="s">
        <v>92</v>
      </c>
      <c r="BC70" s="13" t="s">
        <v>93</v>
      </c>
      <c r="BD70" s="11" t="str">
        <f>HYPERLINK("http://barbagallo.com.au","barbagallo.com.au")</f>
        <v>barbagallo.com.au</v>
      </c>
      <c r="BE70" s="11" t="str">
        <f>HYPERLINK("http://www.linkedin.com/company/barbagallo-group","http://www.linkedin.com/company/barbagallo-group")</f>
        <v>http://www.linkedin.com/company/barbagallo-group</v>
      </c>
      <c r="BF70" s="16">
        <v>97</v>
      </c>
      <c r="BG70" s="13" t="s">
        <v>1074</v>
      </c>
      <c r="BH70" s="13" t="s">
        <v>69</v>
      </c>
      <c r="BI70" s="13" t="s">
        <v>69</v>
      </c>
      <c r="BJ70" s="15">
        <v>1967</v>
      </c>
      <c r="BK70" s="13" t="s">
        <v>69</v>
      </c>
      <c r="BL70" s="14">
        <v>45138</v>
      </c>
      <c r="BM70" s="13" t="s">
        <v>69</v>
      </c>
      <c r="BN70" s="13" t="s">
        <v>69</v>
      </c>
      <c r="BO70" s="11" t="str">
        <f>HYPERLINK("https://my.pitchbook.com?c=133386-04","View Company Online")</f>
        <v>View Company Online</v>
      </c>
    </row>
    <row r="71" spans="1:67" x14ac:dyDescent="0.3">
      <c r="A71" s="3" t="s">
        <v>1075</v>
      </c>
      <c r="B71" s="3" t="s">
        <v>1076</v>
      </c>
      <c r="C71" s="3" t="s">
        <v>69</v>
      </c>
      <c r="D71" s="5" t="s">
        <v>69</v>
      </c>
      <c r="E71" s="3" t="s">
        <v>69</v>
      </c>
      <c r="F71" s="3" t="s">
        <v>69</v>
      </c>
      <c r="G71" s="3" t="s">
        <v>69</v>
      </c>
      <c r="H71" s="3" t="s">
        <v>69</v>
      </c>
      <c r="I71" s="4" t="s">
        <v>69</v>
      </c>
      <c r="J71" s="7" t="s">
        <v>69</v>
      </c>
      <c r="K71" s="4" t="s">
        <v>69</v>
      </c>
      <c r="L71" s="4" t="s">
        <v>69</v>
      </c>
      <c r="M71" s="4" t="s">
        <v>69</v>
      </c>
      <c r="N71" s="4" t="s">
        <v>69</v>
      </c>
      <c r="O71" s="4" t="s">
        <v>69</v>
      </c>
      <c r="P71" s="4" t="s">
        <v>69</v>
      </c>
      <c r="Q71" s="4" t="s">
        <v>69</v>
      </c>
      <c r="R71" s="6" t="s">
        <v>69</v>
      </c>
      <c r="S71" s="3" t="s">
        <v>1077</v>
      </c>
      <c r="T71" s="3" t="s">
        <v>1078</v>
      </c>
      <c r="U71" s="3" t="s">
        <v>1079</v>
      </c>
      <c r="V71" s="3" t="s">
        <v>1080</v>
      </c>
      <c r="W71" s="3" t="s">
        <v>1081</v>
      </c>
      <c r="X71" s="3" t="s">
        <v>1082</v>
      </c>
      <c r="Y71" s="3" t="s">
        <v>1083</v>
      </c>
      <c r="Z71" s="3" t="s">
        <v>69</v>
      </c>
      <c r="AA71" s="3" t="s">
        <v>1084</v>
      </c>
      <c r="AB71" s="3" t="s">
        <v>69</v>
      </c>
      <c r="AC71" s="6" t="s">
        <v>1085</v>
      </c>
      <c r="AD71" s="3" t="s">
        <v>128</v>
      </c>
      <c r="AE71" s="6" t="s">
        <v>1086</v>
      </c>
      <c r="AF71" s="6" t="s">
        <v>1087</v>
      </c>
      <c r="AG71" s="3" t="s">
        <v>69</v>
      </c>
      <c r="AH71" s="3" t="s">
        <v>78</v>
      </c>
      <c r="AI71" s="3" t="s">
        <v>132</v>
      </c>
      <c r="AJ71" s="3" t="s">
        <v>69</v>
      </c>
      <c r="AK71" s="3" t="s">
        <v>1088</v>
      </c>
      <c r="AL71" s="3" t="s">
        <v>1089</v>
      </c>
      <c r="AM71" s="3" t="s">
        <v>69</v>
      </c>
      <c r="AN71" s="3" t="s">
        <v>69</v>
      </c>
      <c r="AO71" s="3" t="s">
        <v>69</v>
      </c>
      <c r="AP71" s="3" t="s">
        <v>1075</v>
      </c>
      <c r="AQ71" s="3" t="s">
        <v>1090</v>
      </c>
      <c r="AR71" s="3" t="s">
        <v>85</v>
      </c>
      <c r="AS71" s="3" t="s">
        <v>623</v>
      </c>
      <c r="AT71" s="3" t="s">
        <v>730</v>
      </c>
      <c r="AU71" s="3" t="s">
        <v>731</v>
      </c>
      <c r="AV71" s="3" t="s">
        <v>69</v>
      </c>
      <c r="AW71" s="3" t="s">
        <v>1091</v>
      </c>
      <c r="AX71" s="3" t="s">
        <v>69</v>
      </c>
      <c r="AY71" s="3" t="s">
        <v>90</v>
      </c>
      <c r="AZ71" s="8" t="s">
        <v>69</v>
      </c>
      <c r="BA71" s="3" t="s">
        <v>91</v>
      </c>
      <c r="BB71" s="3" t="s">
        <v>92</v>
      </c>
      <c r="BC71" s="3" t="s">
        <v>93</v>
      </c>
      <c r="BD71" s="12" t="str">
        <f>HYPERLINK("http://www.br.de","www.br.de")</f>
        <v>www.br.de</v>
      </c>
      <c r="BE71" s="12" t="str">
        <f>HYPERLINK("http://www.linkedin.com/company/bayerischer-rundfunk","http://www.linkedin.com/company/bayerischer-rundfunk")</f>
        <v>http://www.linkedin.com/company/bayerischer-rundfunk</v>
      </c>
      <c r="BF71" s="9">
        <v>5000</v>
      </c>
      <c r="BG71" s="3" t="s">
        <v>1092</v>
      </c>
      <c r="BH71" s="3" t="s">
        <v>69</v>
      </c>
      <c r="BI71" s="3" t="s">
        <v>69</v>
      </c>
      <c r="BJ71" s="10">
        <v>1949</v>
      </c>
      <c r="BK71" s="3" t="s">
        <v>69</v>
      </c>
      <c r="BL71" s="1">
        <v>45748</v>
      </c>
      <c r="BM71" s="3" t="s">
        <v>69</v>
      </c>
      <c r="BN71" s="3" t="s">
        <v>69</v>
      </c>
      <c r="BO71" s="12" t="str">
        <f>HYPERLINK("https://my.pitchbook.com?c=230145-22","View Company Online")</f>
        <v>View Company Online</v>
      </c>
    </row>
    <row r="72" spans="1:67" x14ac:dyDescent="0.3">
      <c r="A72" s="13" t="s">
        <v>1093</v>
      </c>
      <c r="B72" s="13" t="s">
        <v>1094</v>
      </c>
      <c r="C72" s="13" t="s">
        <v>69</v>
      </c>
      <c r="D72" s="21" t="s">
        <v>69</v>
      </c>
      <c r="E72" s="13" t="s">
        <v>69</v>
      </c>
      <c r="F72" s="13" t="s">
        <v>69</v>
      </c>
      <c r="G72" s="13" t="s">
        <v>69</v>
      </c>
      <c r="H72" s="13" t="s">
        <v>69</v>
      </c>
      <c r="I72" s="19" t="s">
        <v>69</v>
      </c>
      <c r="J72" s="20" t="s">
        <v>69</v>
      </c>
      <c r="K72" s="19" t="s">
        <v>69</v>
      </c>
      <c r="L72" s="19" t="s">
        <v>69</v>
      </c>
      <c r="M72" s="19" t="s">
        <v>69</v>
      </c>
      <c r="N72" s="19" t="s">
        <v>69</v>
      </c>
      <c r="O72" s="19" t="s">
        <v>69</v>
      </c>
      <c r="P72" s="19" t="s">
        <v>69</v>
      </c>
      <c r="Q72" s="19" t="s">
        <v>69</v>
      </c>
      <c r="R72" s="18" t="s">
        <v>69</v>
      </c>
      <c r="S72" s="13" t="s">
        <v>1095</v>
      </c>
      <c r="T72" s="13" t="s">
        <v>1096</v>
      </c>
      <c r="U72" s="13" t="s">
        <v>828</v>
      </c>
      <c r="V72" s="13" t="s">
        <v>1097</v>
      </c>
      <c r="W72" s="13" t="s">
        <v>1098</v>
      </c>
      <c r="X72" s="13" t="s">
        <v>1099</v>
      </c>
      <c r="Y72" s="13" t="s">
        <v>1100</v>
      </c>
      <c r="Z72" s="13" t="s">
        <v>1101</v>
      </c>
      <c r="AA72" s="13" t="s">
        <v>1102</v>
      </c>
      <c r="AB72" s="13" t="s">
        <v>1102</v>
      </c>
      <c r="AC72" s="18" t="s">
        <v>1103</v>
      </c>
      <c r="AD72" s="13" t="s">
        <v>378</v>
      </c>
      <c r="AE72" s="18" t="s">
        <v>1098</v>
      </c>
      <c r="AF72" s="18" t="s">
        <v>1104</v>
      </c>
      <c r="AG72" s="13" t="s">
        <v>1105</v>
      </c>
      <c r="AH72" s="13" t="s">
        <v>379</v>
      </c>
      <c r="AI72" s="13" t="s">
        <v>380</v>
      </c>
      <c r="AJ72" s="13" t="s">
        <v>69</v>
      </c>
      <c r="AK72" s="13" t="s">
        <v>69</v>
      </c>
      <c r="AL72" s="13" t="s">
        <v>1106</v>
      </c>
      <c r="AM72" s="13" t="s">
        <v>69</v>
      </c>
      <c r="AN72" s="13" t="s">
        <v>69</v>
      </c>
      <c r="AO72" s="13" t="s">
        <v>69</v>
      </c>
      <c r="AP72" s="13" t="s">
        <v>1093</v>
      </c>
      <c r="AQ72" s="13" t="s">
        <v>1107</v>
      </c>
      <c r="AR72" s="13" t="s">
        <v>422</v>
      </c>
      <c r="AS72" s="13" t="s">
        <v>423</v>
      </c>
      <c r="AT72" s="13" t="s">
        <v>1108</v>
      </c>
      <c r="AU72" s="13" t="s">
        <v>1109</v>
      </c>
      <c r="AV72" s="13" t="s">
        <v>214</v>
      </c>
      <c r="AW72" s="13" t="s">
        <v>1110</v>
      </c>
      <c r="AX72" s="13" t="s">
        <v>69</v>
      </c>
      <c r="AY72" s="13" t="s">
        <v>90</v>
      </c>
      <c r="AZ72" s="17" t="s">
        <v>69</v>
      </c>
      <c r="BA72" s="13" t="s">
        <v>91</v>
      </c>
      <c r="BB72" s="13" t="s">
        <v>92</v>
      </c>
      <c r="BC72" s="13" t="s">
        <v>93</v>
      </c>
      <c r="BD72" s="11" t="str">
        <f>HYPERLINK("http://www.belgiumdia.com","www.belgiumdia.com")</f>
        <v>www.belgiumdia.com</v>
      </c>
      <c r="BE72" s="11" t="str">
        <f>HYPERLINK("http://www.linkedin.com/company/belgiumdiamondsllc","http://www.linkedin.com/company/belgiumdiamondsllc")</f>
        <v>http://www.linkedin.com/company/belgiumdiamondsllc</v>
      </c>
      <c r="BF72" s="16">
        <v>60</v>
      </c>
      <c r="BG72" s="13" t="s">
        <v>1111</v>
      </c>
      <c r="BH72" s="13" t="s">
        <v>69</v>
      </c>
      <c r="BI72" s="13" t="s">
        <v>69</v>
      </c>
      <c r="BJ72" s="15">
        <v>2020</v>
      </c>
      <c r="BK72" s="13" t="s">
        <v>69</v>
      </c>
      <c r="BL72" s="14">
        <v>45442</v>
      </c>
      <c r="BM72" s="13" t="s">
        <v>69</v>
      </c>
      <c r="BN72" s="13" t="s">
        <v>69</v>
      </c>
      <c r="BO72" s="11" t="str">
        <f>HYPERLINK("https://my.pitchbook.com?c=600312-97","View Company Online")</f>
        <v>View Company Online</v>
      </c>
    </row>
    <row r="73" spans="1:67" x14ac:dyDescent="0.3">
      <c r="A73" s="3" t="s">
        <v>1112</v>
      </c>
      <c r="B73" s="3" t="s">
        <v>1113</v>
      </c>
      <c r="C73" s="3" t="s">
        <v>69</v>
      </c>
      <c r="D73" s="5" t="s">
        <v>69</v>
      </c>
      <c r="E73" s="3" t="s">
        <v>69</v>
      </c>
      <c r="F73" s="3" t="s">
        <v>69</v>
      </c>
      <c r="G73" s="3" t="s">
        <v>69</v>
      </c>
      <c r="H73" s="3" t="s">
        <v>69</v>
      </c>
      <c r="I73" s="4" t="s">
        <v>69</v>
      </c>
      <c r="J73" s="7" t="s">
        <v>69</v>
      </c>
      <c r="K73" s="4" t="s">
        <v>69</v>
      </c>
      <c r="L73" s="4" t="s">
        <v>69</v>
      </c>
      <c r="M73" s="4" t="s">
        <v>69</v>
      </c>
      <c r="N73" s="4" t="s">
        <v>69</v>
      </c>
      <c r="O73" s="4" t="s">
        <v>69</v>
      </c>
      <c r="P73" s="4" t="s">
        <v>69</v>
      </c>
      <c r="Q73" s="4" t="s">
        <v>69</v>
      </c>
      <c r="R73" s="6" t="s">
        <v>69</v>
      </c>
      <c r="S73" s="3" t="s">
        <v>69</v>
      </c>
      <c r="T73" s="3" t="s">
        <v>69</v>
      </c>
      <c r="U73" s="3" t="s">
        <v>69</v>
      </c>
      <c r="V73" s="3" t="s">
        <v>69</v>
      </c>
      <c r="W73" s="3" t="s">
        <v>69</v>
      </c>
      <c r="X73" s="3" t="s">
        <v>1114</v>
      </c>
      <c r="Y73" s="3" t="s">
        <v>69</v>
      </c>
      <c r="Z73" s="3" t="s">
        <v>69</v>
      </c>
      <c r="AA73" s="3" t="s">
        <v>1115</v>
      </c>
      <c r="AB73" s="3" t="s">
        <v>1116</v>
      </c>
      <c r="AC73" s="6" t="s">
        <v>1117</v>
      </c>
      <c r="AD73" s="3" t="s">
        <v>378</v>
      </c>
      <c r="AE73" s="6" t="s">
        <v>1118</v>
      </c>
      <c r="AF73" s="6" t="s">
        <v>69</v>
      </c>
      <c r="AG73" s="3" t="s">
        <v>69</v>
      </c>
      <c r="AH73" s="3" t="s">
        <v>379</v>
      </c>
      <c r="AI73" s="3" t="s">
        <v>380</v>
      </c>
      <c r="AJ73" s="3" t="s">
        <v>69</v>
      </c>
      <c r="AK73" s="3" t="s">
        <v>69</v>
      </c>
      <c r="AL73" s="3" t="s">
        <v>69</v>
      </c>
      <c r="AM73" s="3" t="s">
        <v>69</v>
      </c>
      <c r="AN73" s="3" t="s">
        <v>69</v>
      </c>
      <c r="AO73" s="3" t="s">
        <v>69</v>
      </c>
      <c r="AP73" s="3" t="s">
        <v>1112</v>
      </c>
      <c r="AQ73" s="3" t="s">
        <v>1119</v>
      </c>
      <c r="AR73" s="3" t="s">
        <v>85</v>
      </c>
      <c r="AS73" s="3" t="s">
        <v>1058</v>
      </c>
      <c r="AT73" s="3" t="s">
        <v>1120</v>
      </c>
      <c r="AU73" s="3" t="s">
        <v>1121</v>
      </c>
      <c r="AV73" s="3" t="s">
        <v>69</v>
      </c>
      <c r="AW73" s="3" t="s">
        <v>1122</v>
      </c>
      <c r="AX73" s="3" t="s">
        <v>69</v>
      </c>
      <c r="AY73" s="3" t="s">
        <v>90</v>
      </c>
      <c r="AZ73" s="8" t="s">
        <v>69</v>
      </c>
      <c r="BA73" s="3" t="s">
        <v>69</v>
      </c>
      <c r="BB73" s="3" t="s">
        <v>92</v>
      </c>
      <c r="BC73" s="3" t="s">
        <v>93</v>
      </c>
      <c r="BD73" s="12" t="str">
        <f>HYPERLINK("http://bhhsnorthernindianarealestate.com","bhhsnorthernindianarealestate.com")</f>
        <v>bhhsnorthernindianarealestate.com</v>
      </c>
      <c r="BE73" s="12" t="str">
        <f>HYPERLINK("http://www.linkedin.com/company/berkshire-hathaway-homeservices-northern-indiana-real-estate","http://www.linkedin.com/company/berkshire-hathaway-homeservices-northern-indiana-real-estate")</f>
        <v>http://www.linkedin.com/company/berkshire-hathaway-homeservices-northern-indiana-real-estate</v>
      </c>
      <c r="BF73" s="9">
        <v>63</v>
      </c>
      <c r="BG73" s="3" t="s">
        <v>1123</v>
      </c>
      <c r="BH73" s="3" t="s">
        <v>69</v>
      </c>
      <c r="BI73" s="3" t="s">
        <v>69</v>
      </c>
      <c r="BJ73" s="10">
        <v>1988</v>
      </c>
      <c r="BK73" s="3" t="s">
        <v>69</v>
      </c>
      <c r="BL73" s="1">
        <v>45631</v>
      </c>
      <c r="BM73" s="3" t="s">
        <v>69</v>
      </c>
      <c r="BN73" s="3" t="s">
        <v>69</v>
      </c>
      <c r="BO73" s="12" t="str">
        <f>HYPERLINK("https://my.pitchbook.com?c=135382-24","View Company Online")</f>
        <v>View Company Online</v>
      </c>
    </row>
    <row r="74" spans="1:67" x14ac:dyDescent="0.3">
      <c r="A74" s="13" t="s">
        <v>1124</v>
      </c>
      <c r="B74" s="13" t="s">
        <v>1125</v>
      </c>
      <c r="C74" s="13" t="s">
        <v>69</v>
      </c>
      <c r="D74" s="21" t="s">
        <v>69</v>
      </c>
      <c r="E74" s="13" t="s">
        <v>69</v>
      </c>
      <c r="F74" s="13" t="s">
        <v>69</v>
      </c>
      <c r="G74" s="13" t="s">
        <v>69</v>
      </c>
      <c r="H74" s="13" t="s">
        <v>69</v>
      </c>
      <c r="I74" s="19" t="s">
        <v>69</v>
      </c>
      <c r="J74" s="20" t="s">
        <v>69</v>
      </c>
      <c r="K74" s="19" t="s">
        <v>69</v>
      </c>
      <c r="L74" s="19" t="s">
        <v>69</v>
      </c>
      <c r="M74" s="19" t="s">
        <v>69</v>
      </c>
      <c r="N74" s="19" t="s">
        <v>69</v>
      </c>
      <c r="O74" s="19" t="s">
        <v>69</v>
      </c>
      <c r="P74" s="19" t="s">
        <v>69</v>
      </c>
      <c r="Q74" s="19" t="s">
        <v>69</v>
      </c>
      <c r="R74" s="18" t="s">
        <v>69</v>
      </c>
      <c r="S74" s="13" t="s">
        <v>69</v>
      </c>
      <c r="T74" s="13" t="s">
        <v>69</v>
      </c>
      <c r="U74" s="13" t="s">
        <v>69</v>
      </c>
      <c r="V74" s="13" t="s">
        <v>69</v>
      </c>
      <c r="W74" s="13" t="s">
        <v>69</v>
      </c>
      <c r="X74" s="13" t="s">
        <v>884</v>
      </c>
      <c r="Y74" s="13" t="s">
        <v>69</v>
      </c>
      <c r="Z74" s="13" t="s">
        <v>69</v>
      </c>
      <c r="AA74" s="13" t="s">
        <v>885</v>
      </c>
      <c r="AB74" s="13" t="s">
        <v>806</v>
      </c>
      <c r="AC74" s="18" t="s">
        <v>1126</v>
      </c>
      <c r="AD74" s="13" t="s">
        <v>378</v>
      </c>
      <c r="AE74" s="18" t="s">
        <v>69</v>
      </c>
      <c r="AF74" s="18" t="s">
        <v>69</v>
      </c>
      <c r="AG74" s="13" t="s">
        <v>69</v>
      </c>
      <c r="AH74" s="13" t="s">
        <v>379</v>
      </c>
      <c r="AI74" s="13" t="s">
        <v>380</v>
      </c>
      <c r="AJ74" s="13" t="s">
        <v>69</v>
      </c>
      <c r="AK74" s="13" t="s">
        <v>69</v>
      </c>
      <c r="AL74" s="13" t="s">
        <v>69</v>
      </c>
      <c r="AM74" s="13" t="s">
        <v>69</v>
      </c>
      <c r="AN74" s="13" t="s">
        <v>69</v>
      </c>
      <c r="AO74" s="13" t="s">
        <v>69</v>
      </c>
      <c r="AP74" s="13" t="s">
        <v>1124</v>
      </c>
      <c r="AQ74" s="13" t="s">
        <v>1127</v>
      </c>
      <c r="AR74" s="13" t="s">
        <v>185</v>
      </c>
      <c r="AS74" s="13" t="s">
        <v>348</v>
      </c>
      <c r="AT74" s="13" t="s">
        <v>1128</v>
      </c>
      <c r="AU74" s="13" t="s">
        <v>1129</v>
      </c>
      <c r="AV74" s="13" t="s">
        <v>626</v>
      </c>
      <c r="AW74" s="13" t="s">
        <v>1130</v>
      </c>
      <c r="AX74" s="13" t="s">
        <v>69</v>
      </c>
      <c r="AY74" s="13" t="s">
        <v>90</v>
      </c>
      <c r="AZ74" s="17" t="s">
        <v>69</v>
      </c>
      <c r="BA74" s="13" t="s">
        <v>69</v>
      </c>
      <c r="BB74" s="13" t="s">
        <v>92</v>
      </c>
      <c r="BC74" s="13" t="s">
        <v>93</v>
      </c>
      <c r="BD74" s="11" t="str">
        <f>HYPERLINK("http://birdlife.org.au","birdlife.org.au")</f>
        <v>birdlife.org.au</v>
      </c>
      <c r="BE74" s="11" t="str">
        <f>HYPERLINK("http://www.linkedin.com/company/birdlife-australia","http://www.linkedin.com/company/birdlife-australia")</f>
        <v>http://www.linkedin.com/company/birdlife-australia</v>
      </c>
      <c r="BF74" s="16">
        <v>134</v>
      </c>
      <c r="BG74" s="13" t="s">
        <v>1131</v>
      </c>
      <c r="BH74" s="13" t="s">
        <v>69</v>
      </c>
      <c r="BI74" s="13" t="s">
        <v>69</v>
      </c>
      <c r="BJ74" s="15">
        <v>1901</v>
      </c>
      <c r="BK74" s="13" t="s">
        <v>69</v>
      </c>
      <c r="BL74" s="14">
        <v>45631</v>
      </c>
      <c r="BM74" s="13" t="s">
        <v>69</v>
      </c>
      <c r="BN74" s="13" t="s">
        <v>69</v>
      </c>
      <c r="BO74" s="11" t="str">
        <f>HYPERLINK("https://my.pitchbook.com?c=135090-55","View Company Online")</f>
        <v>View Company Online</v>
      </c>
    </row>
    <row r="75" spans="1:67" x14ac:dyDescent="0.3">
      <c r="A75" s="3" t="s">
        <v>1132</v>
      </c>
      <c r="B75" s="3" t="s">
        <v>1133</v>
      </c>
      <c r="C75" s="3" t="s">
        <v>69</v>
      </c>
      <c r="D75" s="5" t="s">
        <v>69</v>
      </c>
      <c r="E75" s="3" t="s">
        <v>69</v>
      </c>
      <c r="F75" s="3" t="s">
        <v>69</v>
      </c>
      <c r="G75" s="3" t="s">
        <v>69</v>
      </c>
      <c r="H75" s="3" t="s">
        <v>69</v>
      </c>
      <c r="I75" s="4" t="s">
        <v>69</v>
      </c>
      <c r="J75" s="7" t="s">
        <v>69</v>
      </c>
      <c r="K75" s="4" t="s">
        <v>69</v>
      </c>
      <c r="L75" s="4" t="s">
        <v>69</v>
      </c>
      <c r="M75" s="4" t="s">
        <v>69</v>
      </c>
      <c r="N75" s="4" t="s">
        <v>69</v>
      </c>
      <c r="O75" s="4" t="s">
        <v>69</v>
      </c>
      <c r="P75" s="4" t="s">
        <v>69</v>
      </c>
      <c r="Q75" s="4" t="s">
        <v>69</v>
      </c>
      <c r="R75" s="6" t="s">
        <v>69</v>
      </c>
      <c r="S75" s="3" t="s">
        <v>1134</v>
      </c>
      <c r="T75" s="3" t="s">
        <v>1135</v>
      </c>
      <c r="U75" s="3" t="s">
        <v>1136</v>
      </c>
      <c r="V75" s="3" t="s">
        <v>1137</v>
      </c>
      <c r="W75" s="3" t="s">
        <v>1138</v>
      </c>
      <c r="X75" s="3" t="s">
        <v>1139</v>
      </c>
      <c r="Y75" s="3" t="s">
        <v>1140</v>
      </c>
      <c r="Z75" s="3" t="s">
        <v>69</v>
      </c>
      <c r="AA75" s="3" t="s">
        <v>1141</v>
      </c>
      <c r="AB75" s="3" t="s">
        <v>1142</v>
      </c>
      <c r="AC75" s="6" t="s">
        <v>1143</v>
      </c>
      <c r="AD75" s="3" t="s">
        <v>378</v>
      </c>
      <c r="AE75" s="6" t="s">
        <v>69</v>
      </c>
      <c r="AF75" s="6" t="s">
        <v>69</v>
      </c>
      <c r="AG75" s="3" t="s">
        <v>69</v>
      </c>
      <c r="AH75" s="3" t="s">
        <v>379</v>
      </c>
      <c r="AI75" s="3" t="s">
        <v>380</v>
      </c>
      <c r="AJ75" s="3" t="s">
        <v>69</v>
      </c>
      <c r="AK75" s="3" t="s">
        <v>69</v>
      </c>
      <c r="AL75" s="3" t="s">
        <v>1144</v>
      </c>
      <c r="AM75" s="3" t="s">
        <v>69</v>
      </c>
      <c r="AN75" s="3" t="s">
        <v>69</v>
      </c>
      <c r="AO75" s="3" t="s">
        <v>69</v>
      </c>
      <c r="AP75" s="3" t="s">
        <v>1132</v>
      </c>
      <c r="AQ75" s="3" t="s">
        <v>1145</v>
      </c>
      <c r="AR75" s="3" t="s">
        <v>85</v>
      </c>
      <c r="AS75" s="3" t="s">
        <v>86</v>
      </c>
      <c r="AT75" s="3" t="s">
        <v>87</v>
      </c>
      <c r="AU75" s="3" t="s">
        <v>1146</v>
      </c>
      <c r="AV75" s="3" t="s">
        <v>113</v>
      </c>
      <c r="AW75" s="3" t="s">
        <v>1147</v>
      </c>
      <c r="AX75" s="3" t="s">
        <v>69</v>
      </c>
      <c r="AY75" s="3" t="s">
        <v>90</v>
      </c>
      <c r="AZ75" s="8" t="s">
        <v>69</v>
      </c>
      <c r="BA75" s="3" t="s">
        <v>91</v>
      </c>
      <c r="BB75" s="3" t="s">
        <v>92</v>
      </c>
      <c r="BC75" s="3" t="s">
        <v>93</v>
      </c>
      <c r="BD75" s="12" t="str">
        <f>HYPERLINK("http://www.bdgastore.com","www.bdgastore.com")</f>
        <v>www.bdgastore.com</v>
      </c>
      <c r="BE75" s="12" t="str">
        <f>HYPERLINK("http://www.linkedin.com/company/bdga","http://www.linkedin.com/company/bdga")</f>
        <v>http://www.linkedin.com/company/bdga</v>
      </c>
      <c r="BF75" s="9">
        <v>52</v>
      </c>
      <c r="BG75" s="3" t="s">
        <v>1148</v>
      </c>
      <c r="BH75" s="3" t="s">
        <v>69</v>
      </c>
      <c r="BI75" s="3" t="s">
        <v>69</v>
      </c>
      <c r="BJ75" s="10">
        <v>2006</v>
      </c>
      <c r="BK75" s="3" t="s">
        <v>69</v>
      </c>
      <c r="BL75" s="1">
        <v>45440</v>
      </c>
      <c r="BM75" s="3" t="s">
        <v>69</v>
      </c>
      <c r="BN75" s="3" t="s">
        <v>69</v>
      </c>
      <c r="BO75" s="12" t="str">
        <f>HYPERLINK("https://my.pitchbook.com?c=465940-27","View Company Online")</f>
        <v>View Company Online</v>
      </c>
    </row>
    <row r="76" spans="1:67" x14ac:dyDescent="0.3">
      <c r="A76" s="13" t="s">
        <v>1149</v>
      </c>
      <c r="B76" s="13" t="s">
        <v>1150</v>
      </c>
      <c r="C76" s="13" t="s">
        <v>69</v>
      </c>
      <c r="D76" s="21" t="s">
        <v>69</v>
      </c>
      <c r="E76" s="13" t="s">
        <v>69</v>
      </c>
      <c r="F76" s="13" t="s">
        <v>69</v>
      </c>
      <c r="G76" s="13" t="s">
        <v>69</v>
      </c>
      <c r="H76" s="13" t="s">
        <v>69</v>
      </c>
      <c r="I76" s="19" t="s">
        <v>69</v>
      </c>
      <c r="J76" s="20" t="s">
        <v>69</v>
      </c>
      <c r="K76" s="19" t="s">
        <v>69</v>
      </c>
      <c r="L76" s="19" t="s">
        <v>69</v>
      </c>
      <c r="M76" s="19" t="s">
        <v>69</v>
      </c>
      <c r="N76" s="19" t="s">
        <v>69</v>
      </c>
      <c r="O76" s="19" t="s">
        <v>69</v>
      </c>
      <c r="P76" s="19" t="s">
        <v>69</v>
      </c>
      <c r="Q76" s="19">
        <v>0</v>
      </c>
      <c r="R76" s="18" t="s">
        <v>118</v>
      </c>
      <c r="S76" s="13" t="s">
        <v>69</v>
      </c>
      <c r="T76" s="13" t="s">
        <v>69</v>
      </c>
      <c r="U76" s="13" t="s">
        <v>69</v>
      </c>
      <c r="V76" s="13" t="s">
        <v>69</v>
      </c>
      <c r="W76" s="13" t="s">
        <v>69</v>
      </c>
      <c r="X76" s="13" t="s">
        <v>1151</v>
      </c>
      <c r="Y76" s="13" t="s">
        <v>1152</v>
      </c>
      <c r="Z76" s="13" t="s">
        <v>69</v>
      </c>
      <c r="AA76" s="13" t="s">
        <v>1153</v>
      </c>
      <c r="AB76" s="13" t="s">
        <v>1154</v>
      </c>
      <c r="AC76" s="18" t="s">
        <v>1155</v>
      </c>
      <c r="AD76" s="13" t="s">
        <v>128</v>
      </c>
      <c r="AE76" s="18" t="s">
        <v>69</v>
      </c>
      <c r="AF76" s="18" t="s">
        <v>69</v>
      </c>
      <c r="AG76" s="13" t="s">
        <v>69</v>
      </c>
      <c r="AH76" s="13" t="s">
        <v>78</v>
      </c>
      <c r="AI76" s="13" t="s">
        <v>132</v>
      </c>
      <c r="AJ76" s="13" t="s">
        <v>69</v>
      </c>
      <c r="AK76" s="13" t="s">
        <v>69</v>
      </c>
      <c r="AL76" s="13" t="s">
        <v>69</v>
      </c>
      <c r="AM76" s="13" t="s">
        <v>1156</v>
      </c>
      <c r="AN76" s="13" t="s">
        <v>1157</v>
      </c>
      <c r="AO76" s="13" t="s">
        <v>69</v>
      </c>
      <c r="AP76" s="13" t="s">
        <v>1149</v>
      </c>
      <c r="AQ76" s="13" t="s">
        <v>1158</v>
      </c>
      <c r="AR76" s="13" t="s">
        <v>185</v>
      </c>
      <c r="AS76" s="13" t="s">
        <v>348</v>
      </c>
      <c r="AT76" s="13" t="s">
        <v>1159</v>
      </c>
      <c r="AU76" s="13" t="s">
        <v>1160</v>
      </c>
      <c r="AV76" s="13" t="s">
        <v>69</v>
      </c>
      <c r="AW76" s="13" t="s">
        <v>69</v>
      </c>
      <c r="AX76" s="13" t="s">
        <v>69</v>
      </c>
      <c r="AY76" s="13" t="s">
        <v>90</v>
      </c>
      <c r="AZ76" s="17" t="s">
        <v>69</v>
      </c>
      <c r="BA76" s="13" t="s">
        <v>69</v>
      </c>
      <c r="BB76" s="13" t="s">
        <v>92</v>
      </c>
      <c r="BC76" s="13" t="s">
        <v>93</v>
      </c>
      <c r="BD76" s="11" t="str">
        <f>HYPERLINK("http://bos112.de","bos112.de")</f>
        <v>bos112.de</v>
      </c>
      <c r="BE76" s="11" t="str">
        <f>HYPERLINK("http://www.linkedin.com/company/bos112","http://www.linkedin.com/company/bos112")</f>
        <v>http://www.linkedin.com/company/bos112</v>
      </c>
      <c r="BF76" s="16">
        <v>112</v>
      </c>
      <c r="BG76" s="13" t="s">
        <v>1161</v>
      </c>
      <c r="BH76" s="13" t="s">
        <v>69</v>
      </c>
      <c r="BI76" s="13" t="s">
        <v>69</v>
      </c>
      <c r="BJ76" s="15">
        <v>2013</v>
      </c>
      <c r="BK76" s="13" t="s">
        <v>69</v>
      </c>
      <c r="BL76" s="14">
        <v>45459</v>
      </c>
      <c r="BM76" s="13" t="s">
        <v>69</v>
      </c>
      <c r="BN76" s="13" t="s">
        <v>69</v>
      </c>
      <c r="BO76" s="11" t="str">
        <f>HYPERLINK("https://my.pitchbook.com?c=556934-50","View Company Online")</f>
        <v>View Company Online</v>
      </c>
    </row>
    <row r="77" spans="1:67" x14ac:dyDescent="0.3">
      <c r="A77" s="3" t="s">
        <v>1162</v>
      </c>
      <c r="B77" s="3" t="s">
        <v>1163</v>
      </c>
      <c r="C77" s="3" t="s">
        <v>69</v>
      </c>
      <c r="D77" s="5" t="s">
        <v>69</v>
      </c>
      <c r="E77" s="3" t="s">
        <v>69</v>
      </c>
      <c r="F77" s="3" t="s">
        <v>69</v>
      </c>
      <c r="G77" s="3" t="s">
        <v>69</v>
      </c>
      <c r="H77" s="3" t="s">
        <v>69</v>
      </c>
      <c r="I77" s="4" t="s">
        <v>69</v>
      </c>
      <c r="J77" s="7" t="s">
        <v>69</v>
      </c>
      <c r="K77" s="4" t="s">
        <v>69</v>
      </c>
      <c r="L77" s="4" t="s">
        <v>69</v>
      </c>
      <c r="M77" s="4" t="s">
        <v>69</v>
      </c>
      <c r="N77" s="4" t="s">
        <v>69</v>
      </c>
      <c r="O77" s="4" t="s">
        <v>69</v>
      </c>
      <c r="P77" s="4" t="s">
        <v>69</v>
      </c>
      <c r="Q77" s="4" t="s">
        <v>69</v>
      </c>
      <c r="R77" s="6" t="s">
        <v>69</v>
      </c>
      <c r="S77" s="3" t="s">
        <v>69</v>
      </c>
      <c r="T77" s="3" t="s">
        <v>69</v>
      </c>
      <c r="U77" s="3" t="s">
        <v>69</v>
      </c>
      <c r="V77" s="3" t="s">
        <v>69</v>
      </c>
      <c r="W77" s="3" t="s">
        <v>69</v>
      </c>
      <c r="X77" s="3" t="s">
        <v>1164</v>
      </c>
      <c r="Y77" s="3" t="s">
        <v>69</v>
      </c>
      <c r="Z77" s="3" t="s">
        <v>69</v>
      </c>
      <c r="AA77" s="3" t="s">
        <v>1165</v>
      </c>
      <c r="AB77" s="3" t="s">
        <v>1166</v>
      </c>
      <c r="AC77" s="6" t="s">
        <v>1167</v>
      </c>
      <c r="AD77" s="3" t="s">
        <v>378</v>
      </c>
      <c r="AE77" s="6" t="s">
        <v>1168</v>
      </c>
      <c r="AF77" s="6" t="s">
        <v>1169</v>
      </c>
      <c r="AG77" s="3" t="s">
        <v>69</v>
      </c>
      <c r="AH77" s="3" t="s">
        <v>379</v>
      </c>
      <c r="AI77" s="3" t="s">
        <v>380</v>
      </c>
      <c r="AJ77" s="3" t="s">
        <v>69</v>
      </c>
      <c r="AK77" s="3" t="s">
        <v>69</v>
      </c>
      <c r="AL77" s="3" t="s">
        <v>69</v>
      </c>
      <c r="AM77" s="3" t="s">
        <v>69</v>
      </c>
      <c r="AN77" s="3" t="s">
        <v>69</v>
      </c>
      <c r="AO77" s="3" t="s">
        <v>69</v>
      </c>
      <c r="AP77" s="3" t="s">
        <v>1162</v>
      </c>
      <c r="AQ77" s="3" t="s">
        <v>1170</v>
      </c>
      <c r="AR77" s="3" t="s">
        <v>185</v>
      </c>
      <c r="AS77" s="3" t="s">
        <v>348</v>
      </c>
      <c r="AT77" s="3" t="s">
        <v>349</v>
      </c>
      <c r="AU77" s="3" t="s">
        <v>350</v>
      </c>
      <c r="AV77" s="3" t="s">
        <v>250</v>
      </c>
      <c r="AW77" s="3" t="s">
        <v>1171</v>
      </c>
      <c r="AX77" s="3" t="s">
        <v>69</v>
      </c>
      <c r="AY77" s="3" t="s">
        <v>90</v>
      </c>
      <c r="AZ77" s="8" t="s">
        <v>69</v>
      </c>
      <c r="BA77" s="3" t="s">
        <v>69</v>
      </c>
      <c r="BB77" s="3" t="s">
        <v>92</v>
      </c>
      <c r="BC77" s="3" t="s">
        <v>93</v>
      </c>
      <c r="BD77" s="12" t="str">
        <f>HYPERLINK("http://boult.com","boult.com")</f>
        <v>boult.com</v>
      </c>
      <c r="BE77" s="12" t="str">
        <f>HYPERLINK("http://www.linkedin.com/company/boult-wade-tennant","http://www.linkedin.com/company/boult-wade-tennant")</f>
        <v>http://www.linkedin.com/company/boult-wade-tennant</v>
      </c>
      <c r="BF77" s="9">
        <v>180</v>
      </c>
      <c r="BG77" s="3" t="s">
        <v>1172</v>
      </c>
      <c r="BH77" s="3" t="s">
        <v>69</v>
      </c>
      <c r="BI77" s="3" t="s">
        <v>69</v>
      </c>
      <c r="BJ77" s="10">
        <v>2018</v>
      </c>
      <c r="BK77" s="3" t="s">
        <v>69</v>
      </c>
      <c r="BL77" s="1">
        <v>45631</v>
      </c>
      <c r="BM77" s="3" t="s">
        <v>69</v>
      </c>
      <c r="BN77" s="3" t="s">
        <v>69</v>
      </c>
      <c r="BO77" s="12" t="str">
        <f>HYPERLINK("https://my.pitchbook.com?c=127317-16","View Company Online")</f>
        <v>View Company Online</v>
      </c>
    </row>
    <row r="78" spans="1:67" x14ac:dyDescent="0.3">
      <c r="A78" s="13" t="s">
        <v>1173</v>
      </c>
      <c r="B78" s="13" t="s">
        <v>1174</v>
      </c>
      <c r="C78" s="13" t="s">
        <v>69</v>
      </c>
      <c r="D78" s="21" t="s">
        <v>69</v>
      </c>
      <c r="E78" s="13" t="s">
        <v>69</v>
      </c>
      <c r="F78" s="13" t="s">
        <v>69</v>
      </c>
      <c r="G78" s="13" t="s">
        <v>69</v>
      </c>
      <c r="H78" s="13" t="s">
        <v>69</v>
      </c>
      <c r="I78" s="19" t="s">
        <v>69</v>
      </c>
      <c r="J78" s="20" t="s">
        <v>69</v>
      </c>
      <c r="K78" s="19" t="s">
        <v>69</v>
      </c>
      <c r="L78" s="19" t="s">
        <v>69</v>
      </c>
      <c r="M78" s="19" t="s">
        <v>69</v>
      </c>
      <c r="N78" s="19" t="s">
        <v>69</v>
      </c>
      <c r="O78" s="19" t="s">
        <v>69</v>
      </c>
      <c r="P78" s="19" t="s">
        <v>69</v>
      </c>
      <c r="Q78" s="19" t="s">
        <v>69</v>
      </c>
      <c r="R78" s="18" t="s">
        <v>69</v>
      </c>
      <c r="S78" s="13" t="s">
        <v>69</v>
      </c>
      <c r="T78" s="13" t="s">
        <v>69</v>
      </c>
      <c r="U78" s="13" t="s">
        <v>69</v>
      </c>
      <c r="V78" s="13" t="s">
        <v>69</v>
      </c>
      <c r="W78" s="13" t="s">
        <v>69</v>
      </c>
      <c r="X78" s="13" t="s">
        <v>1175</v>
      </c>
      <c r="Y78" s="13" t="s">
        <v>69</v>
      </c>
      <c r="Z78" s="13" t="s">
        <v>69</v>
      </c>
      <c r="AA78" s="13" t="s">
        <v>1176</v>
      </c>
      <c r="AB78" s="13" t="s">
        <v>1142</v>
      </c>
      <c r="AC78" s="18" t="s">
        <v>1177</v>
      </c>
      <c r="AD78" s="13" t="s">
        <v>378</v>
      </c>
      <c r="AE78" s="18" t="s">
        <v>1178</v>
      </c>
      <c r="AF78" s="18" t="s">
        <v>1179</v>
      </c>
      <c r="AG78" s="13" t="s">
        <v>69</v>
      </c>
      <c r="AH78" s="13" t="s">
        <v>379</v>
      </c>
      <c r="AI78" s="13" t="s">
        <v>380</v>
      </c>
      <c r="AJ78" s="13" t="s">
        <v>69</v>
      </c>
      <c r="AK78" s="13" t="s">
        <v>69</v>
      </c>
      <c r="AL78" s="13" t="s">
        <v>69</v>
      </c>
      <c r="AM78" s="13" t="s">
        <v>69</v>
      </c>
      <c r="AN78" s="13" t="s">
        <v>69</v>
      </c>
      <c r="AO78" s="13" t="s">
        <v>69</v>
      </c>
      <c r="AP78" s="13" t="s">
        <v>1173</v>
      </c>
      <c r="AQ78" s="13" t="s">
        <v>1180</v>
      </c>
      <c r="AR78" s="13" t="s">
        <v>422</v>
      </c>
      <c r="AS78" s="13" t="s">
        <v>423</v>
      </c>
      <c r="AT78" s="13" t="s">
        <v>1181</v>
      </c>
      <c r="AU78" s="13" t="s">
        <v>1182</v>
      </c>
      <c r="AV78" s="13" t="s">
        <v>69</v>
      </c>
      <c r="AW78" s="13" t="s">
        <v>1183</v>
      </c>
      <c r="AX78" s="13" t="s">
        <v>69</v>
      </c>
      <c r="AY78" s="13" t="s">
        <v>90</v>
      </c>
      <c r="AZ78" s="17" t="s">
        <v>69</v>
      </c>
      <c r="BA78" s="13" t="s">
        <v>91</v>
      </c>
      <c r="BB78" s="13" t="s">
        <v>92</v>
      </c>
      <c r="BC78" s="13" t="s">
        <v>93</v>
      </c>
      <c r="BD78" s="11" t="str">
        <f>HYPERLINK("http://capecodvetspecialists.com","capecodvetspecialists.com")</f>
        <v>capecodvetspecialists.com</v>
      </c>
      <c r="BE78" s="11" t="str">
        <f>HYPERLINK("http://www.linkedin.com/company/cape-cod-veterinary-specialists","http://www.linkedin.com/company/cape-cod-veterinary-specialists")</f>
        <v>http://www.linkedin.com/company/cape-cod-veterinary-specialists</v>
      </c>
      <c r="BF78" s="16">
        <v>73</v>
      </c>
      <c r="BG78" s="13" t="s">
        <v>1184</v>
      </c>
      <c r="BH78" s="13" t="s">
        <v>69</v>
      </c>
      <c r="BI78" s="13" t="s">
        <v>69</v>
      </c>
      <c r="BJ78" s="15">
        <v>2006</v>
      </c>
      <c r="BK78" s="13" t="s">
        <v>69</v>
      </c>
      <c r="BL78" s="14">
        <v>45191</v>
      </c>
      <c r="BM78" s="13" t="s">
        <v>69</v>
      </c>
      <c r="BN78" s="13" t="s">
        <v>69</v>
      </c>
      <c r="BO78" s="11" t="str">
        <f>HYPERLINK("https://my.pitchbook.com?c=285401-89","View Company Online")</f>
        <v>View Company Online</v>
      </c>
    </row>
    <row r="79" spans="1:67" x14ac:dyDescent="0.3">
      <c r="A79" s="3" t="s">
        <v>1185</v>
      </c>
      <c r="B79" s="3" t="s">
        <v>1186</v>
      </c>
      <c r="C79" s="3" t="s">
        <v>69</v>
      </c>
      <c r="D79" s="5" t="s">
        <v>69</v>
      </c>
      <c r="E79" s="3" t="s">
        <v>69</v>
      </c>
      <c r="F79" s="3" t="s">
        <v>69</v>
      </c>
      <c r="G79" s="3" t="s">
        <v>69</v>
      </c>
      <c r="H79" s="3" t="s">
        <v>69</v>
      </c>
      <c r="I79" s="4" t="s">
        <v>69</v>
      </c>
      <c r="J79" s="7" t="s">
        <v>69</v>
      </c>
      <c r="K79" s="4" t="s">
        <v>69</v>
      </c>
      <c r="L79" s="4" t="s">
        <v>69</v>
      </c>
      <c r="M79" s="4" t="s">
        <v>69</v>
      </c>
      <c r="N79" s="4" t="s">
        <v>69</v>
      </c>
      <c r="O79" s="4" t="s">
        <v>69</v>
      </c>
      <c r="P79" s="4" t="s">
        <v>69</v>
      </c>
      <c r="Q79" s="4" t="s">
        <v>69</v>
      </c>
      <c r="R79" s="6" t="s">
        <v>69</v>
      </c>
      <c r="S79" s="3" t="s">
        <v>1187</v>
      </c>
      <c r="T79" s="3" t="s">
        <v>1188</v>
      </c>
      <c r="U79" s="3" t="s">
        <v>1189</v>
      </c>
      <c r="V79" s="3" t="s">
        <v>1190</v>
      </c>
      <c r="W79" s="3" t="s">
        <v>1191</v>
      </c>
      <c r="X79" s="3" t="s">
        <v>1192</v>
      </c>
      <c r="Y79" s="3" t="s">
        <v>1193</v>
      </c>
      <c r="Z79" s="3" t="s">
        <v>69</v>
      </c>
      <c r="AA79" s="3" t="s">
        <v>1194</v>
      </c>
      <c r="AB79" s="3" t="s">
        <v>1195</v>
      </c>
      <c r="AC79" s="6" t="s">
        <v>1196</v>
      </c>
      <c r="AD79" s="3" t="s">
        <v>378</v>
      </c>
      <c r="AE79" s="6" t="s">
        <v>1191</v>
      </c>
      <c r="AF79" s="6" t="s">
        <v>1197</v>
      </c>
      <c r="AG79" s="3" t="s">
        <v>69</v>
      </c>
      <c r="AH79" s="3" t="s">
        <v>379</v>
      </c>
      <c r="AI79" s="3" t="s">
        <v>380</v>
      </c>
      <c r="AJ79" s="3" t="s">
        <v>69</v>
      </c>
      <c r="AK79" s="3" t="s">
        <v>1198</v>
      </c>
      <c r="AL79" s="3" t="s">
        <v>1199</v>
      </c>
      <c r="AM79" s="3" t="s">
        <v>69</v>
      </c>
      <c r="AN79" s="3" t="s">
        <v>69</v>
      </c>
      <c r="AO79" s="3" t="s">
        <v>69</v>
      </c>
      <c r="AP79" s="3" t="s">
        <v>1185</v>
      </c>
      <c r="AQ79" s="3" t="s">
        <v>1200</v>
      </c>
      <c r="AR79" s="3" t="s">
        <v>85</v>
      </c>
      <c r="AS79" s="3" t="s">
        <v>623</v>
      </c>
      <c r="AT79" s="3" t="s">
        <v>730</v>
      </c>
      <c r="AU79" s="3" t="s">
        <v>1201</v>
      </c>
      <c r="AV79" s="3" t="s">
        <v>69</v>
      </c>
      <c r="AW79" s="3" t="s">
        <v>69</v>
      </c>
      <c r="AX79" s="3" t="s">
        <v>69</v>
      </c>
      <c r="AY79" s="3" t="s">
        <v>90</v>
      </c>
      <c r="AZ79" s="8" t="s">
        <v>69</v>
      </c>
      <c r="BA79" s="3" t="s">
        <v>91</v>
      </c>
      <c r="BB79" s="3" t="s">
        <v>92</v>
      </c>
      <c r="BC79" s="3" t="s">
        <v>93</v>
      </c>
      <c r="BD79" s="12" t="str">
        <f>HYPERLINK("http://www.capitolbroadcasting.com","www.capitolbroadcasting.com")</f>
        <v>www.capitolbroadcasting.com</v>
      </c>
      <c r="BE79" s="12" t="str">
        <f>HYPERLINK("http://www.linkedin.com/company/capitolbroadcasting","http://www.linkedin.com/company/capitolbroadcasting")</f>
        <v>http://www.linkedin.com/company/capitolbroadcasting</v>
      </c>
      <c r="BF79" s="9">
        <v>574</v>
      </c>
      <c r="BG79" s="3" t="s">
        <v>1202</v>
      </c>
      <c r="BH79" s="3" t="s">
        <v>69</v>
      </c>
      <c r="BI79" s="3" t="s">
        <v>69</v>
      </c>
      <c r="BJ79" s="10">
        <v>1937</v>
      </c>
      <c r="BK79" s="3" t="s">
        <v>69</v>
      </c>
      <c r="BL79" s="1">
        <v>45604</v>
      </c>
      <c r="BM79" s="3" t="s">
        <v>69</v>
      </c>
      <c r="BN79" s="3" t="s">
        <v>69</v>
      </c>
      <c r="BO79" s="12" t="str">
        <f>HYPERLINK("https://my.pitchbook.com?c=51603-85","View Company Online")</f>
        <v>View Company Online</v>
      </c>
    </row>
    <row r="80" spans="1:67" x14ac:dyDescent="0.3">
      <c r="A80" s="13" t="s">
        <v>1203</v>
      </c>
      <c r="B80" s="13" t="s">
        <v>1204</v>
      </c>
      <c r="C80" s="13" t="s">
        <v>69</v>
      </c>
      <c r="D80" s="21" t="s">
        <v>69</v>
      </c>
      <c r="E80" s="13" t="s">
        <v>69</v>
      </c>
      <c r="F80" s="13" t="s">
        <v>69</v>
      </c>
      <c r="G80" s="13" t="s">
        <v>69</v>
      </c>
      <c r="H80" s="13" t="s">
        <v>69</v>
      </c>
      <c r="I80" s="19" t="s">
        <v>69</v>
      </c>
      <c r="J80" s="20" t="s">
        <v>69</v>
      </c>
      <c r="K80" s="19" t="s">
        <v>69</v>
      </c>
      <c r="L80" s="19" t="s">
        <v>69</v>
      </c>
      <c r="M80" s="19" t="s">
        <v>69</v>
      </c>
      <c r="N80" s="19" t="s">
        <v>69</v>
      </c>
      <c r="O80" s="19" t="s">
        <v>69</v>
      </c>
      <c r="P80" s="19" t="s">
        <v>69</v>
      </c>
      <c r="Q80" s="19" t="s">
        <v>69</v>
      </c>
      <c r="R80" s="18" t="s">
        <v>69</v>
      </c>
      <c r="S80" s="13" t="s">
        <v>69</v>
      </c>
      <c r="T80" s="13" t="s">
        <v>69</v>
      </c>
      <c r="U80" s="13" t="s">
        <v>69</v>
      </c>
      <c r="V80" s="13" t="s">
        <v>69</v>
      </c>
      <c r="W80" s="13" t="s">
        <v>69</v>
      </c>
      <c r="X80" s="13" t="s">
        <v>1205</v>
      </c>
      <c r="Y80" s="13" t="s">
        <v>1206</v>
      </c>
      <c r="Z80" s="13" t="s">
        <v>69</v>
      </c>
      <c r="AA80" s="13" t="s">
        <v>1207</v>
      </c>
      <c r="AB80" s="13" t="s">
        <v>222</v>
      </c>
      <c r="AC80" s="18" t="s">
        <v>1208</v>
      </c>
      <c r="AD80" s="13" t="s">
        <v>162</v>
      </c>
      <c r="AE80" s="18" t="s">
        <v>69</v>
      </c>
      <c r="AF80" s="18" t="s">
        <v>69</v>
      </c>
      <c r="AG80" s="13" t="s">
        <v>69</v>
      </c>
      <c r="AH80" s="13" t="s">
        <v>78</v>
      </c>
      <c r="AI80" s="13" t="s">
        <v>132</v>
      </c>
      <c r="AJ80" s="13" t="s">
        <v>69</v>
      </c>
      <c r="AK80" s="13" t="s">
        <v>69</v>
      </c>
      <c r="AL80" s="13" t="s">
        <v>69</v>
      </c>
      <c r="AM80" s="13" t="s">
        <v>69</v>
      </c>
      <c r="AN80" s="13" t="s">
        <v>69</v>
      </c>
      <c r="AO80" s="13" t="s">
        <v>69</v>
      </c>
      <c r="AP80" s="13" t="s">
        <v>1203</v>
      </c>
      <c r="AQ80" s="13" t="s">
        <v>1209</v>
      </c>
      <c r="AR80" s="13" t="s">
        <v>422</v>
      </c>
      <c r="AS80" s="13" t="s">
        <v>986</v>
      </c>
      <c r="AT80" s="13" t="s">
        <v>987</v>
      </c>
      <c r="AU80" s="13" t="s">
        <v>988</v>
      </c>
      <c r="AV80" s="13" t="s">
        <v>69</v>
      </c>
      <c r="AW80" s="13" t="s">
        <v>1210</v>
      </c>
      <c r="AX80" s="13" t="s">
        <v>69</v>
      </c>
      <c r="AY80" s="13" t="s">
        <v>90</v>
      </c>
      <c r="AZ80" s="17" t="s">
        <v>69</v>
      </c>
      <c r="BA80" s="13" t="s">
        <v>69</v>
      </c>
      <c r="BB80" s="13" t="s">
        <v>92</v>
      </c>
      <c r="BC80" s="13" t="s">
        <v>93</v>
      </c>
      <c r="BD80" s="11" t="str">
        <f>HYPERLINK("http://casio.co.uk","casio.co.uk")</f>
        <v>casio.co.uk</v>
      </c>
      <c r="BE80" s="11" t="str">
        <f>HYPERLINK("http://www.linkedin.com/company/casio-electronics-co-limited","http://www.linkedin.com/company/casio-electronics-co-limited")</f>
        <v>http://www.linkedin.com/company/casio-electronics-co-limited</v>
      </c>
      <c r="BF80" s="16">
        <v>122</v>
      </c>
      <c r="BG80" s="13" t="s">
        <v>1211</v>
      </c>
      <c r="BH80" s="13" t="s">
        <v>69</v>
      </c>
      <c r="BI80" s="13" t="s">
        <v>69</v>
      </c>
      <c r="BJ80" s="15">
        <v>1946</v>
      </c>
      <c r="BK80" s="13" t="s">
        <v>69</v>
      </c>
      <c r="BL80" s="14">
        <v>45301</v>
      </c>
      <c r="BM80" s="13" t="s">
        <v>69</v>
      </c>
      <c r="BN80" s="13" t="s">
        <v>69</v>
      </c>
      <c r="BO80" s="11" t="str">
        <f>HYPERLINK("https://my.pitchbook.com?c=547039-72","View Company Online")</f>
        <v>View Company Online</v>
      </c>
    </row>
    <row r="81" spans="1:67" x14ac:dyDescent="0.3">
      <c r="A81" s="3" t="s">
        <v>1212</v>
      </c>
      <c r="B81" s="3" t="s">
        <v>1213</v>
      </c>
      <c r="C81" s="3" t="s">
        <v>69</v>
      </c>
      <c r="D81" s="5" t="s">
        <v>69</v>
      </c>
      <c r="E81" s="3" t="s">
        <v>69</v>
      </c>
      <c r="F81" s="3" t="s">
        <v>69</v>
      </c>
      <c r="G81" s="3" t="s">
        <v>69</v>
      </c>
      <c r="H81" s="3" t="s">
        <v>69</v>
      </c>
      <c r="I81" s="4" t="s">
        <v>69</v>
      </c>
      <c r="J81" s="7" t="s">
        <v>69</v>
      </c>
      <c r="K81" s="4" t="s">
        <v>69</v>
      </c>
      <c r="L81" s="4" t="s">
        <v>69</v>
      </c>
      <c r="M81" s="4" t="s">
        <v>69</v>
      </c>
      <c r="N81" s="4" t="s">
        <v>69</v>
      </c>
      <c r="O81" s="4" t="s">
        <v>69</v>
      </c>
      <c r="P81" s="4" t="s">
        <v>69</v>
      </c>
      <c r="Q81" s="4" t="s">
        <v>69</v>
      </c>
      <c r="R81" s="6" t="s">
        <v>69</v>
      </c>
      <c r="S81" s="3" t="s">
        <v>69</v>
      </c>
      <c r="T81" s="3" t="s">
        <v>69</v>
      </c>
      <c r="U81" s="3" t="s">
        <v>69</v>
      </c>
      <c r="V81" s="3" t="s">
        <v>69</v>
      </c>
      <c r="W81" s="3" t="s">
        <v>69</v>
      </c>
      <c r="X81" s="3" t="s">
        <v>1214</v>
      </c>
      <c r="Y81" s="3" t="s">
        <v>1215</v>
      </c>
      <c r="Z81" s="3" t="s">
        <v>69</v>
      </c>
      <c r="AA81" s="3" t="s">
        <v>1216</v>
      </c>
      <c r="AB81" s="3" t="s">
        <v>1217</v>
      </c>
      <c r="AC81" s="6" t="s">
        <v>1218</v>
      </c>
      <c r="AD81" s="3" t="s">
        <v>378</v>
      </c>
      <c r="AE81" s="6" t="s">
        <v>69</v>
      </c>
      <c r="AF81" s="6" t="s">
        <v>69</v>
      </c>
      <c r="AG81" s="3" t="s">
        <v>69</v>
      </c>
      <c r="AH81" s="3" t="s">
        <v>379</v>
      </c>
      <c r="AI81" s="3" t="s">
        <v>380</v>
      </c>
      <c r="AJ81" s="3" t="s">
        <v>69</v>
      </c>
      <c r="AK81" s="3" t="s">
        <v>69</v>
      </c>
      <c r="AL81" s="3" t="s">
        <v>69</v>
      </c>
      <c r="AM81" s="3" t="s">
        <v>69</v>
      </c>
      <c r="AN81" s="3" t="s">
        <v>69</v>
      </c>
      <c r="AO81" s="3" t="s">
        <v>69</v>
      </c>
      <c r="AP81" s="3" t="s">
        <v>1212</v>
      </c>
      <c r="AQ81" s="3" t="s">
        <v>1219</v>
      </c>
      <c r="AR81" s="3" t="s">
        <v>185</v>
      </c>
      <c r="AS81" s="3" t="s">
        <v>186</v>
      </c>
      <c r="AT81" s="3" t="s">
        <v>187</v>
      </c>
      <c r="AU81" s="3" t="s">
        <v>945</v>
      </c>
      <c r="AV81" s="3" t="s">
        <v>69</v>
      </c>
      <c r="AW81" s="3" t="s">
        <v>1220</v>
      </c>
      <c r="AX81" s="3" t="s">
        <v>69</v>
      </c>
      <c r="AY81" s="3" t="s">
        <v>90</v>
      </c>
      <c r="AZ81" s="8" t="s">
        <v>69</v>
      </c>
      <c r="BA81" s="3" t="s">
        <v>69</v>
      </c>
      <c r="BB81" s="3" t="s">
        <v>92</v>
      </c>
      <c r="BC81" s="3" t="s">
        <v>93</v>
      </c>
      <c r="BD81" s="12" t="str">
        <f>HYPERLINK("http://cellularplus.com","cellularplus.com")</f>
        <v>cellularplus.com</v>
      </c>
      <c r="BE81" s="12" t="str">
        <f>HYPERLINK("http://www.linkedin.com/company/cellular-plus--verizon-premium-retailer","http://www.linkedin.com/company/cellular-plus--verizon-premium-retailer")</f>
        <v>http://www.linkedin.com/company/cellular-plus--verizon-premium-retailer</v>
      </c>
      <c r="BF81" s="9">
        <v>229</v>
      </c>
      <c r="BG81" s="3" t="s">
        <v>1221</v>
      </c>
      <c r="BH81" s="3" t="s">
        <v>69</v>
      </c>
      <c r="BI81" s="3" t="s">
        <v>69</v>
      </c>
      <c r="BJ81" s="10">
        <v>1998</v>
      </c>
      <c r="BK81" s="3" t="s">
        <v>69</v>
      </c>
      <c r="BL81" s="1">
        <v>45508</v>
      </c>
      <c r="BM81" s="3" t="s">
        <v>69</v>
      </c>
      <c r="BN81" s="3" t="s">
        <v>69</v>
      </c>
      <c r="BO81" s="12" t="str">
        <f>HYPERLINK("https://my.pitchbook.com?c=619310-35","View Company Online")</f>
        <v>View Company Online</v>
      </c>
    </row>
    <row r="82" spans="1:67" x14ac:dyDescent="0.3">
      <c r="A82" s="13" t="s">
        <v>1222</v>
      </c>
      <c r="B82" s="13" t="s">
        <v>1223</v>
      </c>
      <c r="C82" s="13" t="s">
        <v>69</v>
      </c>
      <c r="D82" s="21" t="s">
        <v>69</v>
      </c>
      <c r="E82" s="13" t="s">
        <v>69</v>
      </c>
      <c r="F82" s="13" t="s">
        <v>69</v>
      </c>
      <c r="G82" s="13" t="s">
        <v>69</v>
      </c>
      <c r="H82" s="13" t="s">
        <v>69</v>
      </c>
      <c r="I82" s="19" t="s">
        <v>69</v>
      </c>
      <c r="J82" s="20" t="s">
        <v>69</v>
      </c>
      <c r="K82" s="19" t="s">
        <v>69</v>
      </c>
      <c r="L82" s="19" t="s">
        <v>69</v>
      </c>
      <c r="M82" s="19" t="s">
        <v>69</v>
      </c>
      <c r="N82" s="19" t="s">
        <v>69</v>
      </c>
      <c r="O82" s="19" t="s">
        <v>69</v>
      </c>
      <c r="P82" s="19" t="s">
        <v>69</v>
      </c>
      <c r="Q82" s="19" t="s">
        <v>69</v>
      </c>
      <c r="R82" s="18" t="s">
        <v>69</v>
      </c>
      <c r="S82" s="13" t="s">
        <v>69</v>
      </c>
      <c r="T82" s="13" t="s">
        <v>69</v>
      </c>
      <c r="U82" s="13" t="s">
        <v>69</v>
      </c>
      <c r="V82" s="13" t="s">
        <v>69</v>
      </c>
      <c r="W82" s="13" t="s">
        <v>69</v>
      </c>
      <c r="X82" s="13" t="s">
        <v>1224</v>
      </c>
      <c r="Y82" s="13" t="s">
        <v>1225</v>
      </c>
      <c r="Z82" s="13" t="s">
        <v>69</v>
      </c>
      <c r="AA82" s="13" t="s">
        <v>1226</v>
      </c>
      <c r="AB82" s="13" t="s">
        <v>1227</v>
      </c>
      <c r="AC82" s="18" t="s">
        <v>1228</v>
      </c>
      <c r="AD82" s="13" t="s">
        <v>1034</v>
      </c>
      <c r="AE82" s="18" t="s">
        <v>1229</v>
      </c>
      <c r="AF82" s="18" t="s">
        <v>69</v>
      </c>
      <c r="AG82" s="13" t="s">
        <v>69</v>
      </c>
      <c r="AH82" s="13" t="s">
        <v>379</v>
      </c>
      <c r="AI82" s="13" t="s">
        <v>380</v>
      </c>
      <c r="AJ82" s="13" t="s">
        <v>69</v>
      </c>
      <c r="AK82" s="13" t="s">
        <v>69</v>
      </c>
      <c r="AL82" s="13" t="s">
        <v>1230</v>
      </c>
      <c r="AM82" s="13" t="s">
        <v>69</v>
      </c>
      <c r="AN82" s="13" t="s">
        <v>69</v>
      </c>
      <c r="AO82" s="13" t="s">
        <v>69</v>
      </c>
      <c r="AP82" s="13" t="s">
        <v>1222</v>
      </c>
      <c r="AQ82" s="13" t="s">
        <v>1231</v>
      </c>
      <c r="AR82" s="13" t="s">
        <v>185</v>
      </c>
      <c r="AS82" s="13" t="s">
        <v>348</v>
      </c>
      <c r="AT82" s="13" t="s">
        <v>481</v>
      </c>
      <c r="AU82" s="13" t="s">
        <v>821</v>
      </c>
      <c r="AV82" s="13" t="s">
        <v>69</v>
      </c>
      <c r="AW82" s="13" t="s">
        <v>1232</v>
      </c>
      <c r="AX82" s="13" t="s">
        <v>69</v>
      </c>
      <c r="AY82" s="13" t="s">
        <v>90</v>
      </c>
      <c r="AZ82" s="17" t="s">
        <v>69</v>
      </c>
      <c r="BA82" s="13" t="s">
        <v>1233</v>
      </c>
      <c r="BB82" s="13" t="s">
        <v>92</v>
      </c>
      <c r="BC82" s="13" t="s">
        <v>93</v>
      </c>
      <c r="BD82" s="11" t="str">
        <f>HYPERLINK("http://www.centralprotection.ca","www.centralprotection.ca")</f>
        <v>www.centralprotection.ca</v>
      </c>
      <c r="BE82" s="11" t="str">
        <f>HYPERLINK("http://www.linkedin.com/company/central-protection-canada","http://www.linkedin.com/company/central-protection-canada")</f>
        <v>http://www.linkedin.com/company/central-protection-canada</v>
      </c>
      <c r="BF82" s="16">
        <v>75</v>
      </c>
      <c r="BG82" s="13" t="s">
        <v>1234</v>
      </c>
      <c r="BH82" s="13" t="s">
        <v>69</v>
      </c>
      <c r="BI82" s="13" t="s">
        <v>69</v>
      </c>
      <c r="BJ82" s="15">
        <v>2015</v>
      </c>
      <c r="BK82" s="13" t="s">
        <v>69</v>
      </c>
      <c r="BL82" s="14">
        <v>45744</v>
      </c>
      <c r="BM82" s="13" t="s">
        <v>69</v>
      </c>
      <c r="BN82" s="13" t="s">
        <v>69</v>
      </c>
      <c r="BO82" s="11" t="str">
        <f>HYPERLINK("https://my.pitchbook.com?c=764083-00","View Company Online")</f>
        <v>View Company Online</v>
      </c>
    </row>
    <row r="83" spans="1:67" x14ac:dyDescent="0.3">
      <c r="A83" s="3" t="s">
        <v>1235</v>
      </c>
      <c r="B83" s="3" t="s">
        <v>1236</v>
      </c>
      <c r="C83" s="3" t="s">
        <v>69</v>
      </c>
      <c r="D83" s="5" t="s">
        <v>69</v>
      </c>
      <c r="E83" s="3" t="s">
        <v>69</v>
      </c>
      <c r="F83" s="3" t="s">
        <v>69</v>
      </c>
      <c r="G83" s="3" t="s">
        <v>69</v>
      </c>
      <c r="H83" s="3" t="s">
        <v>69</v>
      </c>
      <c r="I83" s="4" t="s">
        <v>69</v>
      </c>
      <c r="J83" s="7" t="s">
        <v>69</v>
      </c>
      <c r="K83" s="4" t="s">
        <v>69</v>
      </c>
      <c r="L83" s="4" t="s">
        <v>69</v>
      </c>
      <c r="M83" s="4" t="s">
        <v>69</v>
      </c>
      <c r="N83" s="4" t="s">
        <v>69</v>
      </c>
      <c r="O83" s="4" t="s">
        <v>69</v>
      </c>
      <c r="P83" s="4" t="s">
        <v>69</v>
      </c>
      <c r="Q83" s="4" t="s">
        <v>69</v>
      </c>
      <c r="R83" s="6" t="s">
        <v>69</v>
      </c>
      <c r="S83" s="3" t="s">
        <v>69</v>
      </c>
      <c r="T83" s="3" t="s">
        <v>69</v>
      </c>
      <c r="U83" s="3" t="s">
        <v>69</v>
      </c>
      <c r="V83" s="3" t="s">
        <v>69</v>
      </c>
      <c r="W83" s="3" t="s">
        <v>69</v>
      </c>
      <c r="X83" s="3" t="s">
        <v>739</v>
      </c>
      <c r="Y83" s="3" t="s">
        <v>1237</v>
      </c>
      <c r="Z83" s="3" t="s">
        <v>69</v>
      </c>
      <c r="AA83" s="3" t="s">
        <v>741</v>
      </c>
      <c r="AB83" s="3" t="s">
        <v>742</v>
      </c>
      <c r="AC83" s="6" t="s">
        <v>743</v>
      </c>
      <c r="AD83" s="3" t="s">
        <v>295</v>
      </c>
      <c r="AE83" s="6" t="s">
        <v>1238</v>
      </c>
      <c r="AF83" s="6" t="s">
        <v>69</v>
      </c>
      <c r="AG83" s="3" t="s">
        <v>1239</v>
      </c>
      <c r="AH83" s="3" t="s">
        <v>78</v>
      </c>
      <c r="AI83" s="3" t="s">
        <v>132</v>
      </c>
      <c r="AJ83" s="3" t="s">
        <v>69</v>
      </c>
      <c r="AK83" s="3" t="s">
        <v>69</v>
      </c>
      <c r="AL83" s="3" t="s">
        <v>69</v>
      </c>
      <c r="AM83" s="3" t="s">
        <v>69</v>
      </c>
      <c r="AN83" s="3" t="s">
        <v>69</v>
      </c>
      <c r="AO83" s="3" t="s">
        <v>69</v>
      </c>
      <c r="AP83" s="3" t="s">
        <v>1235</v>
      </c>
      <c r="AQ83" s="3" t="s">
        <v>1240</v>
      </c>
      <c r="AR83" s="3" t="s">
        <v>185</v>
      </c>
      <c r="AS83" s="3" t="s">
        <v>348</v>
      </c>
      <c r="AT83" s="3" t="s">
        <v>1241</v>
      </c>
      <c r="AU83" s="3" t="s">
        <v>1242</v>
      </c>
      <c r="AV83" s="3" t="s">
        <v>69</v>
      </c>
      <c r="AW83" s="3" t="s">
        <v>1243</v>
      </c>
      <c r="AX83" s="3" t="s">
        <v>69</v>
      </c>
      <c r="AY83" s="3" t="s">
        <v>90</v>
      </c>
      <c r="AZ83" s="8" t="s">
        <v>69</v>
      </c>
      <c r="BA83" s="3" t="s">
        <v>69</v>
      </c>
      <c r="BB83" s="3" t="s">
        <v>92</v>
      </c>
      <c r="BC83" s="3" t="s">
        <v>93</v>
      </c>
      <c r="BD83" s="12" t="str">
        <f>HYPERLINK("http://cetiat.fr","cetiat.fr")</f>
        <v>cetiat.fr</v>
      </c>
      <c r="BE83" s="12" t="str">
        <f>HYPERLINK("http://www.linkedin.com/company/cetiat","http://www.linkedin.com/company/cetiat")</f>
        <v>http://www.linkedin.com/company/cetiat</v>
      </c>
      <c r="BF83" s="9">
        <v>134</v>
      </c>
      <c r="BG83" s="3" t="s">
        <v>1244</v>
      </c>
      <c r="BH83" s="3" t="s">
        <v>69</v>
      </c>
      <c r="BI83" s="3" t="s">
        <v>69</v>
      </c>
      <c r="BJ83" s="10">
        <v>1960</v>
      </c>
      <c r="BK83" s="3" t="s">
        <v>69</v>
      </c>
      <c r="BL83" s="1">
        <v>45314</v>
      </c>
      <c r="BM83" s="3" t="s">
        <v>69</v>
      </c>
      <c r="BN83" s="3" t="s">
        <v>69</v>
      </c>
      <c r="BO83" s="12" t="str">
        <f>HYPERLINK("https://my.pitchbook.com?c=556963-30","View Company Online")</f>
        <v>View Company Online</v>
      </c>
    </row>
    <row r="84" spans="1:67" x14ac:dyDescent="0.3">
      <c r="A84" s="13" t="s">
        <v>1245</v>
      </c>
      <c r="B84" s="13" t="s">
        <v>1246</v>
      </c>
      <c r="C84" s="13" t="s">
        <v>69</v>
      </c>
      <c r="D84" s="21" t="s">
        <v>69</v>
      </c>
      <c r="E84" s="13" t="s">
        <v>69</v>
      </c>
      <c r="F84" s="13" t="s">
        <v>69</v>
      </c>
      <c r="G84" s="13" t="s">
        <v>69</v>
      </c>
      <c r="H84" s="13" t="s">
        <v>69</v>
      </c>
      <c r="I84" s="19" t="s">
        <v>69</v>
      </c>
      <c r="J84" s="20" t="s">
        <v>69</v>
      </c>
      <c r="K84" s="19" t="s">
        <v>69</v>
      </c>
      <c r="L84" s="19" t="s">
        <v>69</v>
      </c>
      <c r="M84" s="19" t="s">
        <v>69</v>
      </c>
      <c r="N84" s="19" t="s">
        <v>69</v>
      </c>
      <c r="O84" s="19" t="s">
        <v>69</v>
      </c>
      <c r="P84" s="19" t="s">
        <v>69</v>
      </c>
      <c r="Q84" s="19">
        <v>0</v>
      </c>
      <c r="R84" s="18" t="s">
        <v>70</v>
      </c>
      <c r="S84" s="13" t="s">
        <v>1247</v>
      </c>
      <c r="T84" s="13" t="s">
        <v>1248</v>
      </c>
      <c r="U84" s="13" t="s">
        <v>1249</v>
      </c>
      <c r="V84" s="13" t="s">
        <v>1250</v>
      </c>
      <c r="W84" s="13" t="s">
        <v>1251</v>
      </c>
      <c r="X84" s="13" t="s">
        <v>1252</v>
      </c>
      <c r="Y84" s="13" t="s">
        <v>1253</v>
      </c>
      <c r="Z84" s="13" t="s">
        <v>69</v>
      </c>
      <c r="AA84" s="13" t="s">
        <v>1254</v>
      </c>
      <c r="AB84" s="13" t="s">
        <v>1255</v>
      </c>
      <c r="AC84" s="18" t="s">
        <v>1256</v>
      </c>
      <c r="AD84" s="13" t="s">
        <v>128</v>
      </c>
      <c r="AE84" s="18" t="s">
        <v>1251</v>
      </c>
      <c r="AF84" s="18" t="s">
        <v>69</v>
      </c>
      <c r="AG84" s="13" t="s">
        <v>1257</v>
      </c>
      <c r="AH84" s="13" t="s">
        <v>78</v>
      </c>
      <c r="AI84" s="13" t="s">
        <v>132</v>
      </c>
      <c r="AJ84" s="13" t="s">
        <v>69</v>
      </c>
      <c r="AK84" s="13" t="s">
        <v>69</v>
      </c>
      <c r="AL84" s="13" t="s">
        <v>1258</v>
      </c>
      <c r="AM84" s="13" t="s">
        <v>1259</v>
      </c>
      <c r="AN84" s="13" t="s">
        <v>1260</v>
      </c>
      <c r="AO84" s="13" t="s">
        <v>69</v>
      </c>
      <c r="AP84" s="13" t="s">
        <v>1245</v>
      </c>
      <c r="AQ84" s="13" t="s">
        <v>1261</v>
      </c>
      <c r="AR84" s="13" t="s">
        <v>85</v>
      </c>
      <c r="AS84" s="13" t="s">
        <v>623</v>
      </c>
      <c r="AT84" s="13" t="s">
        <v>730</v>
      </c>
      <c r="AU84" s="13" t="s">
        <v>1262</v>
      </c>
      <c r="AV84" s="13" t="s">
        <v>1263</v>
      </c>
      <c r="AW84" s="13" t="s">
        <v>1264</v>
      </c>
      <c r="AX84" s="13" t="s">
        <v>69</v>
      </c>
      <c r="AY84" s="13" t="s">
        <v>90</v>
      </c>
      <c r="AZ84" s="17" t="s">
        <v>69</v>
      </c>
      <c r="BA84" s="13" t="s">
        <v>91</v>
      </c>
      <c r="BB84" s="13" t="s">
        <v>92</v>
      </c>
      <c r="BC84" s="13" t="s">
        <v>93</v>
      </c>
      <c r="BD84" s="11" t="str">
        <f>HYPERLINK("http://www.clipmyhorse.tv","www.clipmyhorse.tv")</f>
        <v>www.clipmyhorse.tv</v>
      </c>
      <c r="BE84" s="11" t="str">
        <f>HYPERLINK("http://www.linkedin.com/company/clipmyhorse-tv","http://www.linkedin.com/company/clipmyhorse-tv")</f>
        <v>http://www.linkedin.com/company/clipmyhorse-tv</v>
      </c>
      <c r="BF84" s="16">
        <v>124</v>
      </c>
      <c r="BG84" s="13" t="s">
        <v>1265</v>
      </c>
      <c r="BH84" s="13" t="s">
        <v>69</v>
      </c>
      <c r="BI84" s="13" t="s">
        <v>69</v>
      </c>
      <c r="BJ84" s="15">
        <v>2007</v>
      </c>
      <c r="BK84" s="13" t="s">
        <v>1266</v>
      </c>
      <c r="BL84" s="14">
        <v>45699</v>
      </c>
      <c r="BM84" s="13" t="s">
        <v>69</v>
      </c>
      <c r="BN84" s="13" t="s">
        <v>69</v>
      </c>
      <c r="BO84" s="11" t="str">
        <f>HYPERLINK("https://my.pitchbook.com?c=557671-96","View Company Online")</f>
        <v>View Company Online</v>
      </c>
    </row>
    <row r="85" spans="1:67" x14ac:dyDescent="0.3">
      <c r="A85" s="3" t="s">
        <v>1267</v>
      </c>
      <c r="B85" s="3" t="s">
        <v>1268</v>
      </c>
      <c r="C85" s="3" t="s">
        <v>69</v>
      </c>
      <c r="D85" s="5" t="s">
        <v>69</v>
      </c>
      <c r="E85" s="3" t="s">
        <v>69</v>
      </c>
      <c r="F85" s="3" t="s">
        <v>69</v>
      </c>
      <c r="G85" s="3" t="s">
        <v>69</v>
      </c>
      <c r="H85" s="3" t="s">
        <v>69</v>
      </c>
      <c r="I85" s="4" t="s">
        <v>69</v>
      </c>
      <c r="J85" s="7" t="s">
        <v>69</v>
      </c>
      <c r="K85" s="4" t="s">
        <v>69</v>
      </c>
      <c r="L85" s="4" t="s">
        <v>69</v>
      </c>
      <c r="M85" s="4" t="s">
        <v>69</v>
      </c>
      <c r="N85" s="4" t="s">
        <v>69</v>
      </c>
      <c r="O85" s="4" t="s">
        <v>69</v>
      </c>
      <c r="P85" s="4" t="s">
        <v>69</v>
      </c>
      <c r="Q85" s="4" t="s">
        <v>69</v>
      </c>
      <c r="R85" s="6" t="s">
        <v>69</v>
      </c>
      <c r="S85" s="3" t="s">
        <v>69</v>
      </c>
      <c r="T85" s="3" t="s">
        <v>69</v>
      </c>
      <c r="U85" s="3" t="s">
        <v>69</v>
      </c>
      <c r="V85" s="3" t="s">
        <v>69</v>
      </c>
      <c r="W85" s="3" t="s">
        <v>69</v>
      </c>
      <c r="X85" s="3" t="s">
        <v>1269</v>
      </c>
      <c r="Y85" s="3" t="s">
        <v>69</v>
      </c>
      <c r="Z85" s="3" t="s">
        <v>69</v>
      </c>
      <c r="AA85" s="3" t="s">
        <v>1270</v>
      </c>
      <c r="AB85" s="3" t="s">
        <v>69</v>
      </c>
      <c r="AC85" s="6" t="s">
        <v>69</v>
      </c>
      <c r="AD85" s="3" t="s">
        <v>1271</v>
      </c>
      <c r="AE85" s="6" t="s">
        <v>69</v>
      </c>
      <c r="AF85" s="6" t="s">
        <v>69</v>
      </c>
      <c r="AG85" s="3" t="s">
        <v>69</v>
      </c>
      <c r="AH85" s="3" t="s">
        <v>379</v>
      </c>
      <c r="AI85" s="3" t="s">
        <v>921</v>
      </c>
      <c r="AJ85" s="3" t="s">
        <v>69</v>
      </c>
      <c r="AK85" s="3" t="s">
        <v>69</v>
      </c>
      <c r="AL85" s="3" t="s">
        <v>69</v>
      </c>
      <c r="AM85" s="3" t="s">
        <v>69</v>
      </c>
      <c r="AN85" s="3" t="s">
        <v>69</v>
      </c>
      <c r="AO85" s="3" t="s">
        <v>69</v>
      </c>
      <c r="AP85" s="3" t="s">
        <v>1267</v>
      </c>
      <c r="AQ85" s="3" t="s">
        <v>1272</v>
      </c>
      <c r="AR85" s="3" t="s">
        <v>185</v>
      </c>
      <c r="AS85" s="3" t="s">
        <v>186</v>
      </c>
      <c r="AT85" s="3" t="s">
        <v>187</v>
      </c>
      <c r="AU85" s="3" t="s">
        <v>945</v>
      </c>
      <c r="AV85" s="3" t="s">
        <v>69</v>
      </c>
      <c r="AW85" s="3" t="s">
        <v>69</v>
      </c>
      <c r="AX85" s="3" t="s">
        <v>69</v>
      </c>
      <c r="AY85" s="3" t="s">
        <v>90</v>
      </c>
      <c r="AZ85" s="8" t="s">
        <v>69</v>
      </c>
      <c r="BA85" s="3" t="s">
        <v>69</v>
      </c>
      <c r="BB85" s="3" t="s">
        <v>92</v>
      </c>
      <c r="BC85" s="3" t="s">
        <v>93</v>
      </c>
      <c r="BD85" s="12" t="str">
        <f>HYPERLINK("http://coliseu.com.br","coliseu.com.br")</f>
        <v>coliseu.com.br</v>
      </c>
      <c r="BE85" s="12" t="str">
        <f>HYPERLINK("http://www.linkedin.com/company/coliseu-joalheria-e-otica","http://www.linkedin.com/company/coliseu-joalheria-e-otica")</f>
        <v>http://www.linkedin.com/company/coliseu-joalheria-e-otica</v>
      </c>
      <c r="BF85" s="9">
        <v>83</v>
      </c>
      <c r="BG85" s="3" t="s">
        <v>1273</v>
      </c>
      <c r="BH85" s="3" t="s">
        <v>69</v>
      </c>
      <c r="BI85" s="3" t="s">
        <v>69</v>
      </c>
      <c r="BJ85" s="10">
        <v>1968</v>
      </c>
      <c r="BK85" s="3" t="s">
        <v>69</v>
      </c>
      <c r="BL85" s="1">
        <v>45315</v>
      </c>
      <c r="BM85" s="3" t="s">
        <v>69</v>
      </c>
      <c r="BN85" s="3" t="s">
        <v>69</v>
      </c>
      <c r="BO85" s="12" t="str">
        <f>HYPERLINK("https://my.pitchbook.com?c=558205-93","View Company Online")</f>
        <v>View Company Online</v>
      </c>
    </row>
    <row r="86" spans="1:67" x14ac:dyDescent="0.3">
      <c r="A86" s="13" t="s">
        <v>1274</v>
      </c>
      <c r="B86" s="13" t="s">
        <v>1275</v>
      </c>
      <c r="C86" s="13" t="s">
        <v>69</v>
      </c>
      <c r="D86" s="21" t="s">
        <v>69</v>
      </c>
      <c r="E86" s="13" t="s">
        <v>69</v>
      </c>
      <c r="F86" s="13" t="s">
        <v>69</v>
      </c>
      <c r="G86" s="13" t="s">
        <v>69</v>
      </c>
      <c r="H86" s="13" t="s">
        <v>69</v>
      </c>
      <c r="I86" s="19" t="s">
        <v>69</v>
      </c>
      <c r="J86" s="20" t="s">
        <v>69</v>
      </c>
      <c r="K86" s="19" t="s">
        <v>69</v>
      </c>
      <c r="L86" s="19" t="s">
        <v>69</v>
      </c>
      <c r="M86" s="19" t="s">
        <v>69</v>
      </c>
      <c r="N86" s="19" t="s">
        <v>69</v>
      </c>
      <c r="O86" s="19" t="s">
        <v>69</v>
      </c>
      <c r="P86" s="19" t="s">
        <v>69</v>
      </c>
      <c r="Q86" s="19" t="s">
        <v>69</v>
      </c>
      <c r="R86" s="18" t="s">
        <v>69</v>
      </c>
      <c r="S86" s="13" t="s">
        <v>69</v>
      </c>
      <c r="T86" s="13" t="s">
        <v>69</v>
      </c>
      <c r="U86" s="13" t="s">
        <v>69</v>
      </c>
      <c r="V86" s="13" t="s">
        <v>69</v>
      </c>
      <c r="W86" s="13" t="s">
        <v>69</v>
      </c>
      <c r="X86" s="13" t="s">
        <v>1276</v>
      </c>
      <c r="Y86" s="13" t="s">
        <v>1277</v>
      </c>
      <c r="Z86" s="13" t="s">
        <v>69</v>
      </c>
      <c r="AA86" s="13" t="s">
        <v>1278</v>
      </c>
      <c r="AB86" s="13" t="s">
        <v>1279</v>
      </c>
      <c r="AC86" s="18" t="s">
        <v>1280</v>
      </c>
      <c r="AD86" s="13" t="s">
        <v>497</v>
      </c>
      <c r="AE86" s="18" t="s">
        <v>69</v>
      </c>
      <c r="AF86" s="18" t="s">
        <v>69</v>
      </c>
      <c r="AG86" s="13" t="s">
        <v>69</v>
      </c>
      <c r="AH86" s="13" t="s">
        <v>78</v>
      </c>
      <c r="AI86" s="13" t="s">
        <v>132</v>
      </c>
      <c r="AJ86" s="13" t="s">
        <v>69</v>
      </c>
      <c r="AK86" s="13" t="s">
        <v>69</v>
      </c>
      <c r="AL86" s="13" t="s">
        <v>69</v>
      </c>
      <c r="AM86" s="13" t="s">
        <v>69</v>
      </c>
      <c r="AN86" s="13" t="s">
        <v>69</v>
      </c>
      <c r="AO86" s="13" t="s">
        <v>69</v>
      </c>
      <c r="AP86" s="13" t="s">
        <v>1274</v>
      </c>
      <c r="AQ86" s="13" t="s">
        <v>1281</v>
      </c>
      <c r="AR86" s="13" t="s">
        <v>85</v>
      </c>
      <c r="AS86" s="13" t="s">
        <v>211</v>
      </c>
      <c r="AT86" s="13" t="s">
        <v>299</v>
      </c>
      <c r="AU86" s="13" t="s">
        <v>300</v>
      </c>
      <c r="AV86" s="13" t="s">
        <v>69</v>
      </c>
      <c r="AW86" s="13" t="s">
        <v>69</v>
      </c>
      <c r="AX86" s="13" t="s">
        <v>69</v>
      </c>
      <c r="AY86" s="13" t="s">
        <v>90</v>
      </c>
      <c r="AZ86" s="17" t="s">
        <v>69</v>
      </c>
      <c r="BA86" s="13" t="s">
        <v>69</v>
      </c>
      <c r="BB86" s="13" t="s">
        <v>92</v>
      </c>
      <c r="BC86" s="13" t="s">
        <v>93</v>
      </c>
      <c r="BD86" s="11" t="str">
        <f>HYPERLINK("http://conceptowatch.ch","conceptowatch.ch")</f>
        <v>conceptowatch.ch</v>
      </c>
      <c r="BE86" s="11" t="str">
        <f>HYPERLINK("http://www.linkedin.com/company/concepto-watch-factory","http://www.linkedin.com/company/concepto-watch-factory")</f>
        <v>http://www.linkedin.com/company/concepto-watch-factory</v>
      </c>
      <c r="BF86" s="16">
        <v>57</v>
      </c>
      <c r="BG86" s="13" t="s">
        <v>1282</v>
      </c>
      <c r="BH86" s="13" t="s">
        <v>69</v>
      </c>
      <c r="BI86" s="13" t="s">
        <v>69</v>
      </c>
      <c r="BJ86" s="15">
        <v>2006</v>
      </c>
      <c r="BK86" s="13" t="s">
        <v>69</v>
      </c>
      <c r="BL86" s="14">
        <v>45517</v>
      </c>
      <c r="BM86" s="13" t="s">
        <v>69</v>
      </c>
      <c r="BN86" s="13" t="s">
        <v>69</v>
      </c>
      <c r="BO86" s="11" t="str">
        <f>HYPERLINK("https://my.pitchbook.com?c=633080-44","View Company Online")</f>
        <v>View Company Online</v>
      </c>
    </row>
    <row r="87" spans="1:67" x14ac:dyDescent="0.3">
      <c r="A87" s="3" t="s">
        <v>1283</v>
      </c>
      <c r="B87" s="3" t="s">
        <v>1284</v>
      </c>
      <c r="C87" s="3" t="s">
        <v>69</v>
      </c>
      <c r="D87" s="5" t="s">
        <v>69</v>
      </c>
      <c r="E87" s="3" t="s">
        <v>69</v>
      </c>
      <c r="F87" s="3" t="s">
        <v>69</v>
      </c>
      <c r="G87" s="3" t="s">
        <v>69</v>
      </c>
      <c r="H87" s="3" t="s">
        <v>69</v>
      </c>
      <c r="I87" s="4" t="s">
        <v>69</v>
      </c>
      <c r="J87" s="7" t="s">
        <v>69</v>
      </c>
      <c r="K87" s="4" t="s">
        <v>69</v>
      </c>
      <c r="L87" s="4" t="s">
        <v>69</v>
      </c>
      <c r="M87" s="4" t="s">
        <v>69</v>
      </c>
      <c r="N87" s="4" t="s">
        <v>69</v>
      </c>
      <c r="O87" s="4" t="s">
        <v>69</v>
      </c>
      <c r="P87" s="4" t="s">
        <v>69</v>
      </c>
      <c r="Q87" s="4" t="s">
        <v>69</v>
      </c>
      <c r="R87" s="6" t="s">
        <v>69</v>
      </c>
      <c r="S87" s="3" t="s">
        <v>69</v>
      </c>
      <c r="T87" s="3" t="s">
        <v>69</v>
      </c>
      <c r="U87" s="3" t="s">
        <v>69</v>
      </c>
      <c r="V87" s="3" t="s">
        <v>69</v>
      </c>
      <c r="W87" s="3" t="s">
        <v>69</v>
      </c>
      <c r="X87" s="3" t="s">
        <v>1285</v>
      </c>
      <c r="Y87" s="3" t="s">
        <v>69</v>
      </c>
      <c r="Z87" s="3" t="s">
        <v>69</v>
      </c>
      <c r="AA87" s="3" t="s">
        <v>1286</v>
      </c>
      <c r="AB87" s="3" t="s">
        <v>1287</v>
      </c>
      <c r="AC87" s="6" t="s">
        <v>1288</v>
      </c>
      <c r="AD87" s="3" t="s">
        <v>378</v>
      </c>
      <c r="AE87" s="6" t="s">
        <v>1289</v>
      </c>
      <c r="AF87" s="6" t="s">
        <v>69</v>
      </c>
      <c r="AG87" s="3" t="s">
        <v>69</v>
      </c>
      <c r="AH87" s="3" t="s">
        <v>379</v>
      </c>
      <c r="AI87" s="3" t="s">
        <v>380</v>
      </c>
      <c r="AJ87" s="3" t="s">
        <v>69</v>
      </c>
      <c r="AK87" s="3" t="s">
        <v>69</v>
      </c>
      <c r="AL87" s="3" t="s">
        <v>69</v>
      </c>
      <c r="AM87" s="3" t="s">
        <v>69</v>
      </c>
      <c r="AN87" s="3" t="s">
        <v>69</v>
      </c>
      <c r="AO87" s="3" t="s">
        <v>69</v>
      </c>
      <c r="AP87" s="3" t="s">
        <v>1283</v>
      </c>
      <c r="AQ87" s="3" t="s">
        <v>1290</v>
      </c>
      <c r="AR87" s="3" t="s">
        <v>85</v>
      </c>
      <c r="AS87" s="3" t="s">
        <v>86</v>
      </c>
      <c r="AT87" s="3" t="s">
        <v>168</v>
      </c>
      <c r="AU87" s="3" t="s">
        <v>1291</v>
      </c>
      <c r="AV87" s="3" t="s">
        <v>69</v>
      </c>
      <c r="AW87" s="3" t="s">
        <v>1292</v>
      </c>
      <c r="AX87" s="3" t="s">
        <v>69</v>
      </c>
      <c r="AY87" s="3" t="s">
        <v>90</v>
      </c>
      <c r="AZ87" s="8" t="s">
        <v>69</v>
      </c>
      <c r="BA87" s="3" t="s">
        <v>69</v>
      </c>
      <c r="BB87" s="3" t="s">
        <v>92</v>
      </c>
      <c r="BC87" s="3" t="s">
        <v>521</v>
      </c>
      <c r="BD87" s="12" t="str">
        <f>HYPERLINK("http://continentaldiamond.com","continentaldiamond.com")</f>
        <v>continentaldiamond.com</v>
      </c>
      <c r="BE87" s="12" t="str">
        <f>HYPERLINK("http://www.linkedin.com/company/continental-diamond","http://www.linkedin.com/company/continental-diamond")</f>
        <v>http://www.linkedin.com/company/continental-diamond</v>
      </c>
      <c r="BF87" s="9">
        <v>50</v>
      </c>
      <c r="BG87" s="3" t="s">
        <v>1293</v>
      </c>
      <c r="BH87" s="3" t="s">
        <v>69</v>
      </c>
      <c r="BI87" s="3" t="s">
        <v>69</v>
      </c>
      <c r="BJ87" s="10">
        <v>1981</v>
      </c>
      <c r="BK87" s="3" t="s">
        <v>69</v>
      </c>
      <c r="BL87" s="1">
        <v>45631</v>
      </c>
      <c r="BM87" s="3" t="s">
        <v>69</v>
      </c>
      <c r="BN87" s="3" t="s">
        <v>69</v>
      </c>
      <c r="BO87" s="12" t="str">
        <f>HYPERLINK("https://my.pitchbook.com?c=147475-72","View Company Online")</f>
        <v>View Company Online</v>
      </c>
    </row>
    <row r="88" spans="1:67" x14ac:dyDescent="0.3">
      <c r="A88" s="13" t="s">
        <v>1294</v>
      </c>
      <c r="B88" s="13" t="s">
        <v>1295</v>
      </c>
      <c r="C88" s="13" t="s">
        <v>69</v>
      </c>
      <c r="D88" s="21" t="s">
        <v>69</v>
      </c>
      <c r="E88" s="13" t="s">
        <v>69</v>
      </c>
      <c r="F88" s="13" t="s">
        <v>69</v>
      </c>
      <c r="G88" s="13" t="s">
        <v>69</v>
      </c>
      <c r="H88" s="13" t="s">
        <v>69</v>
      </c>
      <c r="I88" s="19" t="s">
        <v>69</v>
      </c>
      <c r="J88" s="20" t="s">
        <v>69</v>
      </c>
      <c r="K88" s="19" t="s">
        <v>69</v>
      </c>
      <c r="L88" s="19" t="s">
        <v>69</v>
      </c>
      <c r="M88" s="19" t="s">
        <v>69</v>
      </c>
      <c r="N88" s="19" t="s">
        <v>69</v>
      </c>
      <c r="O88" s="19" t="s">
        <v>69</v>
      </c>
      <c r="P88" s="19" t="s">
        <v>69</v>
      </c>
      <c r="Q88" s="19">
        <v>0.41</v>
      </c>
      <c r="R88" s="18" t="s">
        <v>118</v>
      </c>
      <c r="S88" s="13" t="s">
        <v>69</v>
      </c>
      <c r="T88" s="13" t="s">
        <v>69</v>
      </c>
      <c r="U88" s="13" t="s">
        <v>69</v>
      </c>
      <c r="V88" s="13" t="s">
        <v>69</v>
      </c>
      <c r="W88" s="13" t="s">
        <v>69</v>
      </c>
      <c r="X88" s="13" t="s">
        <v>1296</v>
      </c>
      <c r="Y88" s="13" t="s">
        <v>1297</v>
      </c>
      <c r="Z88" s="13" t="s">
        <v>69</v>
      </c>
      <c r="AA88" s="13" t="s">
        <v>1298</v>
      </c>
      <c r="AB88" s="13" t="s">
        <v>1299</v>
      </c>
      <c r="AC88" s="18" t="s">
        <v>1300</v>
      </c>
      <c r="AD88" s="13" t="s">
        <v>128</v>
      </c>
      <c r="AE88" s="18" t="s">
        <v>69</v>
      </c>
      <c r="AF88" s="18" t="s">
        <v>69</v>
      </c>
      <c r="AG88" s="13" t="s">
        <v>69</v>
      </c>
      <c r="AH88" s="13" t="s">
        <v>78</v>
      </c>
      <c r="AI88" s="13" t="s">
        <v>132</v>
      </c>
      <c r="AJ88" s="13" t="s">
        <v>69</v>
      </c>
      <c r="AK88" s="13" t="s">
        <v>69</v>
      </c>
      <c r="AL88" s="13" t="s">
        <v>1301</v>
      </c>
      <c r="AM88" s="13" t="s">
        <v>1302</v>
      </c>
      <c r="AN88" s="13" t="s">
        <v>1303</v>
      </c>
      <c r="AO88" s="13" t="s">
        <v>69</v>
      </c>
      <c r="AP88" s="13" t="s">
        <v>1294</v>
      </c>
      <c r="AQ88" s="13" t="s">
        <v>1304</v>
      </c>
      <c r="AR88" s="13" t="s">
        <v>85</v>
      </c>
      <c r="AS88" s="13" t="s">
        <v>1058</v>
      </c>
      <c r="AT88" s="13" t="s">
        <v>1120</v>
      </c>
      <c r="AU88" s="13" t="s">
        <v>1305</v>
      </c>
      <c r="AV88" s="13" t="s">
        <v>69</v>
      </c>
      <c r="AW88" s="13" t="s">
        <v>69</v>
      </c>
      <c r="AX88" s="13" t="s">
        <v>69</v>
      </c>
      <c r="AY88" s="13" t="s">
        <v>90</v>
      </c>
      <c r="AZ88" s="17" t="s">
        <v>69</v>
      </c>
      <c r="BA88" s="13" t="s">
        <v>69</v>
      </c>
      <c r="BB88" s="13" t="s">
        <v>92</v>
      </c>
      <c r="BC88" s="13" t="s">
        <v>93</v>
      </c>
      <c r="BD88" s="11" t="str">
        <f>HYPERLINK("http://cuxland-ferienparks.de","cuxland-ferienparks.de")</f>
        <v>cuxland-ferienparks.de</v>
      </c>
      <c r="BE88" s="13" t="s">
        <v>69</v>
      </c>
      <c r="BF88" s="16">
        <v>124</v>
      </c>
      <c r="BG88" s="13" t="s">
        <v>1306</v>
      </c>
      <c r="BH88" s="13" t="s">
        <v>69</v>
      </c>
      <c r="BI88" s="13" t="s">
        <v>69</v>
      </c>
      <c r="BJ88" s="15">
        <v>1979</v>
      </c>
      <c r="BK88" s="13" t="s">
        <v>1307</v>
      </c>
      <c r="BL88" s="14">
        <v>45764</v>
      </c>
      <c r="BM88" s="13" t="s">
        <v>69</v>
      </c>
      <c r="BN88" s="13" t="s">
        <v>69</v>
      </c>
      <c r="BO88" s="11" t="str">
        <f>HYPERLINK("https://my.pitchbook.com?c=750443-14","View Company Online")</f>
        <v>View Company Online</v>
      </c>
    </row>
    <row r="89" spans="1:67" x14ac:dyDescent="0.3">
      <c r="A89" s="3" t="s">
        <v>1308</v>
      </c>
      <c r="B89" s="3" t="s">
        <v>1309</v>
      </c>
      <c r="C89" s="3" t="s">
        <v>69</v>
      </c>
      <c r="D89" s="5" t="s">
        <v>69</v>
      </c>
      <c r="E89" s="3" t="s">
        <v>69</v>
      </c>
      <c r="F89" s="3" t="s">
        <v>69</v>
      </c>
      <c r="G89" s="3" t="s">
        <v>69</v>
      </c>
      <c r="H89" s="3" t="s">
        <v>69</v>
      </c>
      <c r="I89" s="4" t="s">
        <v>69</v>
      </c>
      <c r="J89" s="7" t="s">
        <v>69</v>
      </c>
      <c r="K89" s="4">
        <v>14.14</v>
      </c>
      <c r="L89" s="4">
        <v>2.54</v>
      </c>
      <c r="M89" s="4" t="s">
        <v>69</v>
      </c>
      <c r="N89" s="4">
        <v>4.04</v>
      </c>
      <c r="O89" s="4">
        <v>3.83</v>
      </c>
      <c r="P89" s="4" t="s">
        <v>69</v>
      </c>
      <c r="Q89" s="4">
        <v>0.14000000000000001</v>
      </c>
      <c r="R89" s="6" t="s">
        <v>70</v>
      </c>
      <c r="S89" s="3" t="s">
        <v>69</v>
      </c>
      <c r="T89" s="3" t="s">
        <v>69</v>
      </c>
      <c r="U89" s="3" t="s">
        <v>69</v>
      </c>
      <c r="V89" s="3" t="s">
        <v>69</v>
      </c>
      <c r="W89" s="3" t="s">
        <v>69</v>
      </c>
      <c r="X89" s="3" t="s">
        <v>1310</v>
      </c>
      <c r="Y89" s="3" t="s">
        <v>1311</v>
      </c>
      <c r="Z89" s="3" t="s">
        <v>69</v>
      </c>
      <c r="AA89" s="3" t="s">
        <v>1312</v>
      </c>
      <c r="AB89" s="3" t="s">
        <v>1313</v>
      </c>
      <c r="AC89" s="6" t="s">
        <v>1314</v>
      </c>
      <c r="AD89" s="3" t="s">
        <v>128</v>
      </c>
      <c r="AE89" s="6" t="s">
        <v>1315</v>
      </c>
      <c r="AF89" s="6" t="s">
        <v>69</v>
      </c>
      <c r="AG89" s="3" t="s">
        <v>1316</v>
      </c>
      <c r="AH89" s="3" t="s">
        <v>78</v>
      </c>
      <c r="AI89" s="3" t="s">
        <v>132</v>
      </c>
      <c r="AJ89" s="3" t="s">
        <v>69</v>
      </c>
      <c r="AK89" s="3" t="s">
        <v>69</v>
      </c>
      <c r="AL89" s="3" t="s">
        <v>1317</v>
      </c>
      <c r="AM89" s="3" t="s">
        <v>1318</v>
      </c>
      <c r="AN89" s="3" t="s">
        <v>1319</v>
      </c>
      <c r="AO89" s="3" t="s">
        <v>69</v>
      </c>
      <c r="AP89" s="3" t="s">
        <v>1308</v>
      </c>
      <c r="AQ89" s="3" t="s">
        <v>1320</v>
      </c>
      <c r="AR89" s="3" t="s">
        <v>1321</v>
      </c>
      <c r="AS89" s="3" t="s">
        <v>1322</v>
      </c>
      <c r="AT89" s="3" t="s">
        <v>1323</v>
      </c>
      <c r="AU89" s="3" t="s">
        <v>1324</v>
      </c>
      <c r="AV89" s="3" t="s">
        <v>69</v>
      </c>
      <c r="AW89" s="3" t="s">
        <v>1325</v>
      </c>
      <c r="AX89" s="3" t="s">
        <v>69</v>
      </c>
      <c r="AY89" s="3" t="s">
        <v>90</v>
      </c>
      <c r="AZ89" s="8" t="s">
        <v>69</v>
      </c>
      <c r="BA89" s="3" t="s">
        <v>69</v>
      </c>
      <c r="BB89" s="3" t="s">
        <v>92</v>
      </c>
      <c r="BC89" s="3" t="s">
        <v>93</v>
      </c>
      <c r="BD89" s="12" t="str">
        <f>HYPERLINK("http://dahlinger.com","dahlinger.com")</f>
        <v>dahlinger.com</v>
      </c>
      <c r="BE89" s="12" t="str">
        <f>HYPERLINK("http://www.linkedin.com/company/dahlingergmbh","http://www.linkedin.com/company/dahlingergmbh")</f>
        <v>http://www.linkedin.com/company/dahlingergmbh</v>
      </c>
      <c r="BF89" s="9">
        <v>65</v>
      </c>
      <c r="BG89" s="3" t="s">
        <v>1326</v>
      </c>
      <c r="BH89" s="3" t="s">
        <v>69</v>
      </c>
      <c r="BI89" s="3" t="s">
        <v>69</v>
      </c>
      <c r="BJ89" s="10">
        <v>1871</v>
      </c>
      <c r="BK89" s="3" t="s">
        <v>69</v>
      </c>
      <c r="BL89" s="1">
        <v>45459</v>
      </c>
      <c r="BM89" s="3" t="s">
        <v>69</v>
      </c>
      <c r="BN89" s="3" t="s">
        <v>69</v>
      </c>
      <c r="BO89" s="12" t="str">
        <f>HYPERLINK("https://my.pitchbook.com?c=558706-06","View Company Online")</f>
        <v>View Company Online</v>
      </c>
    </row>
    <row r="90" spans="1:67" x14ac:dyDescent="0.3">
      <c r="A90" s="13" t="s">
        <v>1327</v>
      </c>
      <c r="B90" s="13" t="s">
        <v>1328</v>
      </c>
      <c r="C90" s="13" t="s">
        <v>69</v>
      </c>
      <c r="D90" s="21" t="s">
        <v>69</v>
      </c>
      <c r="E90" s="13" t="s">
        <v>69</v>
      </c>
      <c r="F90" s="13" t="s">
        <v>69</v>
      </c>
      <c r="G90" s="13" t="s">
        <v>69</v>
      </c>
      <c r="H90" s="13" t="s">
        <v>69</v>
      </c>
      <c r="I90" s="19" t="s">
        <v>69</v>
      </c>
      <c r="J90" s="20" t="s">
        <v>69</v>
      </c>
      <c r="K90" s="19" t="s">
        <v>69</v>
      </c>
      <c r="L90" s="19" t="s">
        <v>69</v>
      </c>
      <c r="M90" s="19" t="s">
        <v>69</v>
      </c>
      <c r="N90" s="19" t="s">
        <v>69</v>
      </c>
      <c r="O90" s="19" t="s">
        <v>69</v>
      </c>
      <c r="P90" s="19" t="s">
        <v>69</v>
      </c>
      <c r="Q90" s="19" t="s">
        <v>69</v>
      </c>
      <c r="R90" s="18" t="s">
        <v>69</v>
      </c>
      <c r="S90" s="13" t="s">
        <v>69</v>
      </c>
      <c r="T90" s="13" t="s">
        <v>69</v>
      </c>
      <c r="U90" s="13" t="s">
        <v>69</v>
      </c>
      <c r="V90" s="13" t="s">
        <v>69</v>
      </c>
      <c r="W90" s="13" t="s">
        <v>69</v>
      </c>
      <c r="X90" s="13" t="s">
        <v>1329</v>
      </c>
      <c r="Y90" s="13" t="s">
        <v>1330</v>
      </c>
      <c r="Z90" s="13" t="s">
        <v>69</v>
      </c>
      <c r="AA90" s="13" t="s">
        <v>1331</v>
      </c>
      <c r="AB90" s="13" t="s">
        <v>1332</v>
      </c>
      <c r="AC90" s="18" t="s">
        <v>1333</v>
      </c>
      <c r="AD90" s="13" t="s">
        <v>1334</v>
      </c>
      <c r="AE90" s="18" t="s">
        <v>69</v>
      </c>
      <c r="AF90" s="18" t="s">
        <v>69</v>
      </c>
      <c r="AG90" s="13" t="s">
        <v>69</v>
      </c>
      <c r="AH90" s="13" t="s">
        <v>446</v>
      </c>
      <c r="AI90" s="13" t="s">
        <v>1335</v>
      </c>
      <c r="AJ90" s="13" t="s">
        <v>69</v>
      </c>
      <c r="AK90" s="13" t="s">
        <v>69</v>
      </c>
      <c r="AL90" s="13" t="s">
        <v>69</v>
      </c>
      <c r="AM90" s="13" t="s">
        <v>1336</v>
      </c>
      <c r="AN90" s="13" t="s">
        <v>1337</v>
      </c>
      <c r="AO90" s="13" t="s">
        <v>69</v>
      </c>
      <c r="AP90" s="13" t="s">
        <v>1327</v>
      </c>
      <c r="AQ90" s="13" t="s">
        <v>1338</v>
      </c>
      <c r="AR90" s="13" t="s">
        <v>422</v>
      </c>
      <c r="AS90" s="13" t="s">
        <v>423</v>
      </c>
      <c r="AT90" s="13" t="s">
        <v>1339</v>
      </c>
      <c r="AU90" s="13" t="s">
        <v>1340</v>
      </c>
      <c r="AV90" s="13" t="s">
        <v>69</v>
      </c>
      <c r="AW90" s="13" t="s">
        <v>69</v>
      </c>
      <c r="AX90" s="13" t="s">
        <v>69</v>
      </c>
      <c r="AY90" s="13" t="s">
        <v>90</v>
      </c>
      <c r="AZ90" s="17" t="s">
        <v>69</v>
      </c>
      <c r="BA90" s="13" t="s">
        <v>69</v>
      </c>
      <c r="BB90" s="13" t="s">
        <v>92</v>
      </c>
      <c r="BC90" s="13" t="s">
        <v>93</v>
      </c>
      <c r="BD90" s="11" t="str">
        <f>HYPERLINK("http://dasher.com.my","dasher.com.my")</f>
        <v>dasher.com.my</v>
      </c>
      <c r="BE90" s="11" t="str">
        <f>HYPERLINK("http://www.linkedin.com/company/dashermy","http://www.linkedin.com/company/dashermy")</f>
        <v>http://www.linkedin.com/company/dashermy</v>
      </c>
      <c r="BF90" s="16">
        <v>62</v>
      </c>
      <c r="BG90" s="13" t="s">
        <v>1341</v>
      </c>
      <c r="BH90" s="13" t="s">
        <v>69</v>
      </c>
      <c r="BI90" s="13" t="s">
        <v>69</v>
      </c>
      <c r="BJ90" s="15">
        <v>2011</v>
      </c>
      <c r="BK90" s="13" t="s">
        <v>69</v>
      </c>
      <c r="BL90" s="14">
        <v>45362</v>
      </c>
      <c r="BM90" s="13" t="s">
        <v>69</v>
      </c>
      <c r="BN90" s="13" t="s">
        <v>69</v>
      </c>
      <c r="BO90" s="11" t="str">
        <f>HYPERLINK("https://my.pitchbook.com?c=558797-23","View Company Online")</f>
        <v>View Company Online</v>
      </c>
    </row>
    <row r="91" spans="1:67" x14ac:dyDescent="0.3">
      <c r="A91" s="3" t="s">
        <v>1342</v>
      </c>
      <c r="B91" s="3" t="s">
        <v>1343</v>
      </c>
      <c r="C91" s="3" t="s">
        <v>69</v>
      </c>
      <c r="D91" s="5" t="s">
        <v>69</v>
      </c>
      <c r="E91" s="3" t="s">
        <v>69</v>
      </c>
      <c r="F91" s="3" t="s">
        <v>69</v>
      </c>
      <c r="G91" s="3" t="s">
        <v>69</v>
      </c>
      <c r="H91" s="3" t="s">
        <v>69</v>
      </c>
      <c r="I91" s="4" t="s">
        <v>69</v>
      </c>
      <c r="J91" s="7" t="s">
        <v>69</v>
      </c>
      <c r="K91" s="4" t="s">
        <v>69</v>
      </c>
      <c r="L91" s="4" t="s">
        <v>69</v>
      </c>
      <c r="M91" s="4" t="s">
        <v>69</v>
      </c>
      <c r="N91" s="4" t="s">
        <v>69</v>
      </c>
      <c r="O91" s="4" t="s">
        <v>69</v>
      </c>
      <c r="P91" s="4" t="s">
        <v>69</v>
      </c>
      <c r="Q91" s="4" t="s">
        <v>69</v>
      </c>
      <c r="R91" s="6" t="s">
        <v>69</v>
      </c>
      <c r="S91" s="3" t="s">
        <v>1344</v>
      </c>
      <c r="T91" s="3" t="s">
        <v>1345</v>
      </c>
      <c r="U91" s="3" t="s">
        <v>1346</v>
      </c>
      <c r="V91" s="3" t="s">
        <v>1347</v>
      </c>
      <c r="W91" s="3" t="s">
        <v>1348</v>
      </c>
      <c r="X91" s="3" t="s">
        <v>1349</v>
      </c>
      <c r="Y91" s="3" t="s">
        <v>1350</v>
      </c>
      <c r="Z91" s="3" t="s">
        <v>1351</v>
      </c>
      <c r="AA91" s="3" t="s">
        <v>1352</v>
      </c>
      <c r="AB91" s="3" t="s">
        <v>222</v>
      </c>
      <c r="AC91" s="6" t="s">
        <v>1353</v>
      </c>
      <c r="AD91" s="3" t="s">
        <v>162</v>
      </c>
      <c r="AE91" s="6" t="s">
        <v>1348</v>
      </c>
      <c r="AF91" s="6" t="s">
        <v>69</v>
      </c>
      <c r="AG91" s="3" t="s">
        <v>69</v>
      </c>
      <c r="AH91" s="3" t="s">
        <v>78</v>
      </c>
      <c r="AI91" s="3" t="s">
        <v>132</v>
      </c>
      <c r="AJ91" s="3" t="s">
        <v>69</v>
      </c>
      <c r="AK91" s="3" t="s">
        <v>69</v>
      </c>
      <c r="AL91" s="3" t="s">
        <v>1354</v>
      </c>
      <c r="AM91" s="3" t="s">
        <v>1355</v>
      </c>
      <c r="AN91" s="3" t="s">
        <v>165</v>
      </c>
      <c r="AO91" s="3" t="s">
        <v>69</v>
      </c>
      <c r="AP91" s="3" t="s">
        <v>1342</v>
      </c>
      <c r="AQ91" s="3" t="s">
        <v>1356</v>
      </c>
      <c r="AR91" s="3" t="s">
        <v>85</v>
      </c>
      <c r="AS91" s="3" t="s">
        <v>86</v>
      </c>
      <c r="AT91" s="3" t="s">
        <v>87</v>
      </c>
      <c r="AU91" s="3" t="s">
        <v>1357</v>
      </c>
      <c r="AV91" s="3" t="s">
        <v>69</v>
      </c>
      <c r="AW91" s="3" t="s">
        <v>1358</v>
      </c>
      <c r="AX91" s="3" t="s">
        <v>69</v>
      </c>
      <c r="AY91" s="3" t="s">
        <v>90</v>
      </c>
      <c r="AZ91" s="8" t="s">
        <v>69</v>
      </c>
      <c r="BA91" s="3" t="s">
        <v>91</v>
      </c>
      <c r="BB91" s="3" t="s">
        <v>92</v>
      </c>
      <c r="BC91" s="3" t="s">
        <v>93</v>
      </c>
      <c r="BD91" s="12" t="str">
        <f>HYPERLINK("http://www.uk.designerexchange.com","www.uk.designerexchange.com")</f>
        <v>www.uk.designerexchange.com</v>
      </c>
      <c r="BE91" s="12" t="str">
        <f>HYPERLINK("http://www.linkedin.com/company/webuydesigner","http://www.linkedin.com/company/webuydesigner")</f>
        <v>http://www.linkedin.com/company/webuydesigner</v>
      </c>
      <c r="BF91" s="9">
        <v>72</v>
      </c>
      <c r="BG91" s="3" t="s">
        <v>1359</v>
      </c>
      <c r="BH91" s="3" t="s">
        <v>69</v>
      </c>
      <c r="BI91" s="3" t="s">
        <v>69</v>
      </c>
      <c r="BJ91" s="10">
        <v>2013</v>
      </c>
      <c r="BK91" s="3" t="s">
        <v>69</v>
      </c>
      <c r="BL91" s="1">
        <v>45510</v>
      </c>
      <c r="BM91" s="3" t="s">
        <v>69</v>
      </c>
      <c r="BN91" s="3" t="s">
        <v>69</v>
      </c>
      <c r="BO91" s="12" t="str">
        <f>HYPERLINK("https://my.pitchbook.com?c=537138-55","View Company Online")</f>
        <v>View Company Online</v>
      </c>
    </row>
    <row r="92" spans="1:67" x14ac:dyDescent="0.3">
      <c r="A92" s="13" t="s">
        <v>1360</v>
      </c>
      <c r="B92" s="13" t="s">
        <v>1361</v>
      </c>
      <c r="C92" s="13" t="s">
        <v>69</v>
      </c>
      <c r="D92" s="21" t="s">
        <v>69</v>
      </c>
      <c r="E92" s="13" t="s">
        <v>69</v>
      </c>
      <c r="F92" s="13" t="s">
        <v>69</v>
      </c>
      <c r="G92" s="13" t="s">
        <v>69</v>
      </c>
      <c r="H92" s="13" t="s">
        <v>69</v>
      </c>
      <c r="I92" s="19" t="s">
        <v>69</v>
      </c>
      <c r="J92" s="20" t="s">
        <v>69</v>
      </c>
      <c r="K92" s="19" t="s">
        <v>69</v>
      </c>
      <c r="L92" s="19" t="s">
        <v>69</v>
      </c>
      <c r="M92" s="19" t="s">
        <v>69</v>
      </c>
      <c r="N92" s="19" t="s">
        <v>69</v>
      </c>
      <c r="O92" s="19" t="s">
        <v>69</v>
      </c>
      <c r="P92" s="19" t="s">
        <v>69</v>
      </c>
      <c r="Q92" s="19" t="s">
        <v>69</v>
      </c>
      <c r="R92" s="18" t="s">
        <v>69</v>
      </c>
      <c r="S92" s="13" t="s">
        <v>69</v>
      </c>
      <c r="T92" s="13" t="s">
        <v>69</v>
      </c>
      <c r="U92" s="13" t="s">
        <v>69</v>
      </c>
      <c r="V92" s="13" t="s">
        <v>69</v>
      </c>
      <c r="W92" s="13" t="s">
        <v>69</v>
      </c>
      <c r="X92" s="13" t="s">
        <v>1362</v>
      </c>
      <c r="Y92" s="13" t="s">
        <v>69</v>
      </c>
      <c r="Z92" s="13" t="s">
        <v>69</v>
      </c>
      <c r="AA92" s="13" t="s">
        <v>1363</v>
      </c>
      <c r="AB92" s="13" t="s">
        <v>1364</v>
      </c>
      <c r="AC92" s="18" t="s">
        <v>1365</v>
      </c>
      <c r="AD92" s="13" t="s">
        <v>1271</v>
      </c>
      <c r="AE92" s="18" t="s">
        <v>69</v>
      </c>
      <c r="AF92" s="18" t="s">
        <v>69</v>
      </c>
      <c r="AG92" s="13" t="s">
        <v>69</v>
      </c>
      <c r="AH92" s="13" t="s">
        <v>379</v>
      </c>
      <c r="AI92" s="13" t="s">
        <v>921</v>
      </c>
      <c r="AJ92" s="13" t="s">
        <v>69</v>
      </c>
      <c r="AK92" s="13" t="s">
        <v>69</v>
      </c>
      <c r="AL92" s="13" t="s">
        <v>69</v>
      </c>
      <c r="AM92" s="13" t="s">
        <v>69</v>
      </c>
      <c r="AN92" s="13" t="s">
        <v>69</v>
      </c>
      <c r="AO92" s="13" t="s">
        <v>69</v>
      </c>
      <c r="AP92" s="13" t="s">
        <v>1360</v>
      </c>
      <c r="AQ92" s="13" t="s">
        <v>1366</v>
      </c>
      <c r="AR92" s="13" t="s">
        <v>185</v>
      </c>
      <c r="AS92" s="13" t="s">
        <v>186</v>
      </c>
      <c r="AT92" s="13" t="s">
        <v>237</v>
      </c>
      <c r="AU92" s="13" t="s">
        <v>238</v>
      </c>
      <c r="AV92" s="13" t="s">
        <v>69</v>
      </c>
      <c r="AW92" s="13" t="s">
        <v>1367</v>
      </c>
      <c r="AX92" s="13" t="s">
        <v>69</v>
      </c>
      <c r="AY92" s="13" t="s">
        <v>90</v>
      </c>
      <c r="AZ92" s="17" t="s">
        <v>69</v>
      </c>
      <c r="BA92" s="13" t="s">
        <v>69</v>
      </c>
      <c r="BB92" s="13" t="s">
        <v>92</v>
      </c>
      <c r="BC92" s="13" t="s">
        <v>93</v>
      </c>
      <c r="BD92" s="11" t="str">
        <f>HYPERLINK("http://dimep.com.br","dimep.com.br")</f>
        <v>dimep.com.br</v>
      </c>
      <c r="BE92" s="11" t="str">
        <f>HYPERLINK("http://www.linkedin.com/company/dimep","http://www.linkedin.com/company/dimep")</f>
        <v>http://www.linkedin.com/company/dimep</v>
      </c>
      <c r="BF92" s="16">
        <v>623</v>
      </c>
      <c r="BG92" s="13" t="s">
        <v>1368</v>
      </c>
      <c r="BH92" s="13" t="s">
        <v>69</v>
      </c>
      <c r="BI92" s="13" t="s">
        <v>69</v>
      </c>
      <c r="BJ92" s="15">
        <v>1936</v>
      </c>
      <c r="BK92" s="13" t="s">
        <v>69</v>
      </c>
      <c r="BL92" s="14">
        <v>45315</v>
      </c>
      <c r="BM92" s="13" t="s">
        <v>69</v>
      </c>
      <c r="BN92" s="13" t="s">
        <v>69</v>
      </c>
      <c r="BO92" s="11" t="str">
        <f>HYPERLINK("https://my.pitchbook.com?c=559337-77","View Company Online")</f>
        <v>View Company Online</v>
      </c>
    </row>
    <row r="93" spans="1:67" x14ac:dyDescent="0.3">
      <c r="A93" s="3" t="s">
        <v>1369</v>
      </c>
      <c r="B93" s="3" t="s">
        <v>1370</v>
      </c>
      <c r="C93" s="3" t="s">
        <v>69</v>
      </c>
      <c r="D93" s="5" t="s">
        <v>69</v>
      </c>
      <c r="E93" s="3" t="s">
        <v>69</v>
      </c>
      <c r="F93" s="3" t="s">
        <v>69</v>
      </c>
      <c r="G93" s="3" t="s">
        <v>69</v>
      </c>
      <c r="H93" s="3" t="s">
        <v>69</v>
      </c>
      <c r="I93" s="4" t="s">
        <v>69</v>
      </c>
      <c r="J93" s="7" t="s">
        <v>69</v>
      </c>
      <c r="K93" s="4">
        <v>6.64</v>
      </c>
      <c r="L93" s="4">
        <v>0.09</v>
      </c>
      <c r="M93" s="4" t="s">
        <v>69</v>
      </c>
      <c r="N93" s="4">
        <v>0.4</v>
      </c>
      <c r="O93" s="4">
        <v>0.15</v>
      </c>
      <c r="P93" s="4" t="s">
        <v>69</v>
      </c>
      <c r="Q93" s="4">
        <v>0</v>
      </c>
      <c r="R93" s="6" t="s">
        <v>118</v>
      </c>
      <c r="S93" s="3" t="s">
        <v>69</v>
      </c>
      <c r="T93" s="3" t="s">
        <v>69</v>
      </c>
      <c r="U93" s="3" t="s">
        <v>69</v>
      </c>
      <c r="V93" s="3" t="s">
        <v>69</v>
      </c>
      <c r="W93" s="3" t="s">
        <v>69</v>
      </c>
      <c r="X93" s="3" t="s">
        <v>1371</v>
      </c>
      <c r="Y93" s="3" t="s">
        <v>1372</v>
      </c>
      <c r="Z93" s="3" t="s">
        <v>69</v>
      </c>
      <c r="AA93" s="3" t="s">
        <v>1373</v>
      </c>
      <c r="AB93" s="3" t="s">
        <v>1313</v>
      </c>
      <c r="AC93" s="6" t="s">
        <v>1374</v>
      </c>
      <c r="AD93" s="3" t="s">
        <v>128</v>
      </c>
      <c r="AE93" s="6" t="s">
        <v>69</v>
      </c>
      <c r="AF93" s="6" t="s">
        <v>69</v>
      </c>
      <c r="AG93" s="3" t="s">
        <v>69</v>
      </c>
      <c r="AH93" s="3" t="s">
        <v>78</v>
      </c>
      <c r="AI93" s="3" t="s">
        <v>132</v>
      </c>
      <c r="AJ93" s="3" t="s">
        <v>69</v>
      </c>
      <c r="AK93" s="3" t="s">
        <v>69</v>
      </c>
      <c r="AL93" s="3" t="s">
        <v>1375</v>
      </c>
      <c r="AM93" s="3" t="s">
        <v>1376</v>
      </c>
      <c r="AN93" s="3" t="s">
        <v>1319</v>
      </c>
      <c r="AO93" s="3" t="s">
        <v>69</v>
      </c>
      <c r="AP93" s="3" t="s">
        <v>1369</v>
      </c>
      <c r="AQ93" s="3" t="s">
        <v>1377</v>
      </c>
      <c r="AR93" s="3" t="s">
        <v>1321</v>
      </c>
      <c r="AS93" s="3" t="s">
        <v>1322</v>
      </c>
      <c r="AT93" s="3" t="s">
        <v>1378</v>
      </c>
      <c r="AU93" s="3" t="s">
        <v>1379</v>
      </c>
      <c r="AV93" s="3" t="s">
        <v>69</v>
      </c>
      <c r="AW93" s="3" t="s">
        <v>69</v>
      </c>
      <c r="AX93" s="3" t="s">
        <v>69</v>
      </c>
      <c r="AY93" s="3" t="s">
        <v>90</v>
      </c>
      <c r="AZ93" s="8" t="s">
        <v>69</v>
      </c>
      <c r="BA93" s="3" t="s">
        <v>69</v>
      </c>
      <c r="BB93" s="3" t="s">
        <v>92</v>
      </c>
      <c r="BC93" s="3" t="s">
        <v>93</v>
      </c>
      <c r="BD93" s="12" t="str">
        <f>HYPERLINK("http://wilhelm-etuis.com","wilhelm-etuis.com")</f>
        <v>wilhelm-etuis.com</v>
      </c>
      <c r="BE93" s="3" t="s">
        <v>69</v>
      </c>
      <c r="BF93" s="9">
        <v>74</v>
      </c>
      <c r="BG93" s="3" t="s">
        <v>1380</v>
      </c>
      <c r="BH93" s="3" t="s">
        <v>69</v>
      </c>
      <c r="BI93" s="3" t="s">
        <v>69</v>
      </c>
      <c r="BJ93" s="10">
        <v>1979</v>
      </c>
      <c r="BK93" s="3" t="s">
        <v>69</v>
      </c>
      <c r="BL93" s="1">
        <v>45647</v>
      </c>
      <c r="BM93" s="3" t="s">
        <v>69</v>
      </c>
      <c r="BN93" s="3" t="s">
        <v>69</v>
      </c>
      <c r="BO93" s="12" t="str">
        <f>HYPERLINK("https://my.pitchbook.com?c=605843-20","View Company Online")</f>
        <v>View Company Online</v>
      </c>
    </row>
    <row r="94" spans="1:67" x14ac:dyDescent="0.3">
      <c r="A94" s="13" t="s">
        <v>1381</v>
      </c>
      <c r="B94" s="13" t="s">
        <v>1382</v>
      </c>
      <c r="C94" s="13" t="s">
        <v>69</v>
      </c>
      <c r="D94" s="21" t="s">
        <v>69</v>
      </c>
      <c r="E94" s="13" t="s">
        <v>69</v>
      </c>
      <c r="F94" s="13" t="s">
        <v>69</v>
      </c>
      <c r="G94" s="13" t="s">
        <v>69</v>
      </c>
      <c r="H94" s="13" t="s">
        <v>69</v>
      </c>
      <c r="I94" s="19" t="s">
        <v>69</v>
      </c>
      <c r="J94" s="20" t="s">
        <v>69</v>
      </c>
      <c r="K94" s="19" t="s">
        <v>69</v>
      </c>
      <c r="L94" s="19" t="s">
        <v>69</v>
      </c>
      <c r="M94" s="19" t="s">
        <v>69</v>
      </c>
      <c r="N94" s="19" t="s">
        <v>69</v>
      </c>
      <c r="O94" s="19" t="s">
        <v>69</v>
      </c>
      <c r="P94" s="19" t="s">
        <v>69</v>
      </c>
      <c r="Q94" s="19" t="s">
        <v>69</v>
      </c>
      <c r="R94" s="18" t="s">
        <v>69</v>
      </c>
      <c r="S94" s="13" t="s">
        <v>69</v>
      </c>
      <c r="T94" s="13" t="s">
        <v>69</v>
      </c>
      <c r="U94" s="13" t="s">
        <v>69</v>
      </c>
      <c r="V94" s="13" t="s">
        <v>69</v>
      </c>
      <c r="W94" s="13" t="s">
        <v>69</v>
      </c>
      <c r="X94" s="13" t="s">
        <v>1383</v>
      </c>
      <c r="Y94" s="13" t="s">
        <v>1384</v>
      </c>
      <c r="Z94" s="13" t="s">
        <v>69</v>
      </c>
      <c r="AA94" s="13" t="s">
        <v>1385</v>
      </c>
      <c r="AB94" s="13" t="s">
        <v>69</v>
      </c>
      <c r="AC94" s="18" t="s">
        <v>1386</v>
      </c>
      <c r="AD94" s="13" t="s">
        <v>497</v>
      </c>
      <c r="AE94" s="18" t="s">
        <v>1387</v>
      </c>
      <c r="AF94" s="18" t="s">
        <v>69</v>
      </c>
      <c r="AG94" s="13" t="s">
        <v>1388</v>
      </c>
      <c r="AH94" s="13" t="s">
        <v>78</v>
      </c>
      <c r="AI94" s="13" t="s">
        <v>132</v>
      </c>
      <c r="AJ94" s="13" t="s">
        <v>69</v>
      </c>
      <c r="AK94" s="13" t="s">
        <v>69</v>
      </c>
      <c r="AL94" s="13" t="s">
        <v>69</v>
      </c>
      <c r="AM94" s="13" t="s">
        <v>69</v>
      </c>
      <c r="AN94" s="13" t="s">
        <v>69</v>
      </c>
      <c r="AO94" s="13" t="s">
        <v>69</v>
      </c>
      <c r="AP94" s="13" t="s">
        <v>1381</v>
      </c>
      <c r="AQ94" s="13" t="s">
        <v>1389</v>
      </c>
      <c r="AR94" s="13" t="s">
        <v>85</v>
      </c>
      <c r="AS94" s="13" t="s">
        <v>623</v>
      </c>
      <c r="AT94" s="13" t="s">
        <v>1390</v>
      </c>
      <c r="AU94" s="13" t="s">
        <v>1391</v>
      </c>
      <c r="AV94" s="13" t="s">
        <v>69</v>
      </c>
      <c r="AW94" s="13" t="s">
        <v>1392</v>
      </c>
      <c r="AX94" s="13" t="s">
        <v>69</v>
      </c>
      <c r="AY94" s="13" t="s">
        <v>90</v>
      </c>
      <c r="AZ94" s="17" t="s">
        <v>69</v>
      </c>
      <c r="BA94" s="13" t="s">
        <v>69</v>
      </c>
      <c r="BB94" s="13" t="s">
        <v>92</v>
      </c>
      <c r="BC94" s="13" t="s">
        <v>93</v>
      </c>
      <c r="BD94" s="11" t="str">
        <f>HYPERLINK("http://agenceecofin.com","agenceecofin.com")</f>
        <v>agenceecofin.com</v>
      </c>
      <c r="BE94" s="11" t="str">
        <f>HYPERLINK("http://www.linkedin.com/company/agenceecofin","http://www.linkedin.com/company/agenceecofin")</f>
        <v>http://www.linkedin.com/company/agenceecofin</v>
      </c>
      <c r="BF94" s="16">
        <v>53</v>
      </c>
      <c r="BG94" s="13" t="s">
        <v>1393</v>
      </c>
      <c r="BH94" s="13" t="s">
        <v>69</v>
      </c>
      <c r="BI94" s="13" t="s">
        <v>69</v>
      </c>
      <c r="BJ94" s="15">
        <v>2011</v>
      </c>
      <c r="BK94" s="13" t="s">
        <v>69</v>
      </c>
      <c r="BL94" s="14">
        <v>45314</v>
      </c>
      <c r="BM94" s="13" t="s">
        <v>69</v>
      </c>
      <c r="BN94" s="13" t="s">
        <v>69</v>
      </c>
      <c r="BO94" s="11" t="str">
        <f>HYPERLINK("https://my.pitchbook.com?c=556572-88","View Company Online")</f>
        <v>View Company Online</v>
      </c>
    </row>
    <row r="95" spans="1:67" x14ac:dyDescent="0.3">
      <c r="A95" s="3" t="s">
        <v>1394</v>
      </c>
      <c r="B95" s="3" t="s">
        <v>1395</v>
      </c>
      <c r="C95" s="3" t="s">
        <v>69</v>
      </c>
      <c r="D95" s="5" t="s">
        <v>69</v>
      </c>
      <c r="E95" s="3" t="s">
        <v>69</v>
      </c>
      <c r="F95" s="3" t="s">
        <v>69</v>
      </c>
      <c r="G95" s="3" t="s">
        <v>69</v>
      </c>
      <c r="H95" s="3" t="s">
        <v>69</v>
      </c>
      <c r="I95" s="4" t="s">
        <v>69</v>
      </c>
      <c r="J95" s="7" t="s">
        <v>69</v>
      </c>
      <c r="K95" s="4" t="s">
        <v>69</v>
      </c>
      <c r="L95" s="4" t="s">
        <v>69</v>
      </c>
      <c r="M95" s="4" t="s">
        <v>69</v>
      </c>
      <c r="N95" s="4" t="s">
        <v>69</v>
      </c>
      <c r="O95" s="4" t="s">
        <v>69</v>
      </c>
      <c r="P95" s="4" t="s">
        <v>69</v>
      </c>
      <c r="Q95" s="4">
        <v>0.12</v>
      </c>
      <c r="R95" s="6" t="s">
        <v>70</v>
      </c>
      <c r="S95" s="3" t="s">
        <v>69</v>
      </c>
      <c r="T95" s="3" t="s">
        <v>69</v>
      </c>
      <c r="U95" s="3" t="s">
        <v>69</v>
      </c>
      <c r="V95" s="3" t="s">
        <v>69</v>
      </c>
      <c r="W95" s="3" t="s">
        <v>69</v>
      </c>
      <c r="X95" s="3" t="s">
        <v>1396</v>
      </c>
      <c r="Y95" s="3" t="s">
        <v>1397</v>
      </c>
      <c r="Z95" s="3" t="s">
        <v>69</v>
      </c>
      <c r="AA95" s="3" t="s">
        <v>1398</v>
      </c>
      <c r="AB95" s="3" t="s">
        <v>293</v>
      </c>
      <c r="AC95" s="6" t="s">
        <v>1399</v>
      </c>
      <c r="AD95" s="3" t="s">
        <v>295</v>
      </c>
      <c r="AE95" s="6" t="s">
        <v>69</v>
      </c>
      <c r="AF95" s="6" t="s">
        <v>69</v>
      </c>
      <c r="AG95" s="3" t="s">
        <v>69</v>
      </c>
      <c r="AH95" s="3" t="s">
        <v>78</v>
      </c>
      <c r="AI95" s="3" t="s">
        <v>132</v>
      </c>
      <c r="AJ95" s="3" t="s">
        <v>69</v>
      </c>
      <c r="AK95" s="3" t="s">
        <v>69</v>
      </c>
      <c r="AL95" s="3" t="s">
        <v>69</v>
      </c>
      <c r="AM95" s="3" t="s">
        <v>1400</v>
      </c>
      <c r="AN95" s="3" t="s">
        <v>297</v>
      </c>
      <c r="AO95" s="3" t="s">
        <v>69</v>
      </c>
      <c r="AP95" s="3" t="s">
        <v>1394</v>
      </c>
      <c r="AQ95" s="3" t="s">
        <v>1401</v>
      </c>
      <c r="AR95" s="3" t="s">
        <v>85</v>
      </c>
      <c r="AS95" s="3" t="s">
        <v>1058</v>
      </c>
      <c r="AT95" s="3" t="s">
        <v>1059</v>
      </c>
      <c r="AU95" s="3" t="s">
        <v>1060</v>
      </c>
      <c r="AV95" s="3" t="s">
        <v>69</v>
      </c>
      <c r="AW95" s="3" t="s">
        <v>69</v>
      </c>
      <c r="AX95" s="3" t="s">
        <v>69</v>
      </c>
      <c r="AY95" s="3" t="s">
        <v>90</v>
      </c>
      <c r="AZ95" s="8" t="s">
        <v>69</v>
      </c>
      <c r="BA95" s="3" t="s">
        <v>69</v>
      </c>
      <c r="BB95" s="3" t="s">
        <v>92</v>
      </c>
      <c r="BC95" s="3" t="s">
        <v>93</v>
      </c>
      <c r="BD95" s="12" t="str">
        <f>HYPERLINK("http://sis-fr.com","sis-fr.com")</f>
        <v>sis-fr.com</v>
      </c>
      <c r="BE95" s="3" t="s">
        <v>69</v>
      </c>
      <c r="BF95" s="9">
        <v>1800</v>
      </c>
      <c r="BG95" s="3" t="s">
        <v>1402</v>
      </c>
      <c r="BH95" s="3" t="s">
        <v>69</v>
      </c>
      <c r="BI95" s="3" t="s">
        <v>69</v>
      </c>
      <c r="BJ95" s="10">
        <v>2011</v>
      </c>
      <c r="BK95" s="3" t="s">
        <v>69</v>
      </c>
      <c r="BL95" s="1">
        <v>45364</v>
      </c>
      <c r="BM95" s="3" t="s">
        <v>69</v>
      </c>
      <c r="BN95" s="3" t="s">
        <v>69</v>
      </c>
      <c r="BO95" s="12" t="str">
        <f>HYPERLINK("https://my.pitchbook.com?c=426660-22","View Company Online")</f>
        <v>View Company Online</v>
      </c>
    </row>
    <row r="96" spans="1:67" x14ac:dyDescent="0.3">
      <c r="A96" s="13" t="s">
        <v>1403</v>
      </c>
      <c r="B96" s="13" t="s">
        <v>1404</v>
      </c>
      <c r="C96" s="13" t="s">
        <v>69</v>
      </c>
      <c r="D96" s="21" t="s">
        <v>69</v>
      </c>
      <c r="E96" s="13" t="s">
        <v>69</v>
      </c>
      <c r="F96" s="13" t="s">
        <v>69</v>
      </c>
      <c r="G96" s="13" t="s">
        <v>69</v>
      </c>
      <c r="H96" s="13" t="s">
        <v>69</v>
      </c>
      <c r="I96" s="19" t="s">
        <v>69</v>
      </c>
      <c r="J96" s="20" t="s">
        <v>69</v>
      </c>
      <c r="K96" s="19" t="s">
        <v>69</v>
      </c>
      <c r="L96" s="19" t="s">
        <v>69</v>
      </c>
      <c r="M96" s="19" t="s">
        <v>69</v>
      </c>
      <c r="N96" s="19" t="s">
        <v>69</v>
      </c>
      <c r="O96" s="19" t="s">
        <v>69</v>
      </c>
      <c r="P96" s="19" t="s">
        <v>69</v>
      </c>
      <c r="Q96" s="19" t="s">
        <v>69</v>
      </c>
      <c r="R96" s="18" t="s">
        <v>69</v>
      </c>
      <c r="S96" s="13" t="s">
        <v>69</v>
      </c>
      <c r="T96" s="13" t="s">
        <v>69</v>
      </c>
      <c r="U96" s="13" t="s">
        <v>69</v>
      </c>
      <c r="V96" s="13" t="s">
        <v>69</v>
      </c>
      <c r="W96" s="13" t="s">
        <v>69</v>
      </c>
      <c r="X96" s="13" t="s">
        <v>295</v>
      </c>
      <c r="Y96" s="13" t="s">
        <v>69</v>
      </c>
      <c r="Z96" s="13" t="s">
        <v>69</v>
      </c>
      <c r="AA96" s="13" t="s">
        <v>69</v>
      </c>
      <c r="AB96" s="13" t="s">
        <v>69</v>
      </c>
      <c r="AC96" s="18" t="s">
        <v>69</v>
      </c>
      <c r="AD96" s="13" t="s">
        <v>295</v>
      </c>
      <c r="AE96" s="18" t="s">
        <v>69</v>
      </c>
      <c r="AF96" s="18" t="s">
        <v>69</v>
      </c>
      <c r="AG96" s="13" t="s">
        <v>69</v>
      </c>
      <c r="AH96" s="13" t="s">
        <v>78</v>
      </c>
      <c r="AI96" s="13" t="s">
        <v>132</v>
      </c>
      <c r="AJ96" s="13" t="s">
        <v>69</v>
      </c>
      <c r="AK96" s="13" t="s">
        <v>69</v>
      </c>
      <c r="AL96" s="13" t="s">
        <v>69</v>
      </c>
      <c r="AM96" s="13" t="s">
        <v>69</v>
      </c>
      <c r="AN96" s="13" t="s">
        <v>69</v>
      </c>
      <c r="AO96" s="13" t="s">
        <v>69</v>
      </c>
      <c r="AP96" s="13" t="s">
        <v>1403</v>
      </c>
      <c r="AQ96" s="13" t="s">
        <v>1405</v>
      </c>
      <c r="AR96" s="13" t="s">
        <v>85</v>
      </c>
      <c r="AS96" s="13" t="s">
        <v>86</v>
      </c>
      <c r="AT96" s="13" t="s">
        <v>87</v>
      </c>
      <c r="AU96" s="13" t="s">
        <v>112</v>
      </c>
      <c r="AV96" s="13" t="s">
        <v>69</v>
      </c>
      <c r="AW96" s="13" t="s">
        <v>69</v>
      </c>
      <c r="AX96" s="13" t="s">
        <v>69</v>
      </c>
      <c r="AY96" s="13" t="s">
        <v>90</v>
      </c>
      <c r="AZ96" s="17" t="s">
        <v>69</v>
      </c>
      <c r="BA96" s="13" t="s">
        <v>69</v>
      </c>
      <c r="BB96" s="13" t="s">
        <v>92</v>
      </c>
      <c r="BC96" s="13" t="s">
        <v>93</v>
      </c>
      <c r="BD96" s="11" t="str">
        <f>HYPERLINK("http://edora-bijouterie.fr","edora-bijouterie.fr")</f>
        <v>edora-bijouterie.fr</v>
      </c>
      <c r="BE96" s="11" t="str">
        <f>HYPERLINK("http://www.linkedin.com/company/edora-bijoux","http://www.linkedin.com/company/edora-bijoux")</f>
        <v>http://www.linkedin.com/company/edora-bijoux</v>
      </c>
      <c r="BF96" s="16">
        <v>62</v>
      </c>
      <c r="BG96" s="13" t="s">
        <v>1341</v>
      </c>
      <c r="BH96" s="13" t="s">
        <v>69</v>
      </c>
      <c r="BI96" s="13" t="s">
        <v>69</v>
      </c>
      <c r="BJ96" s="15" t="s">
        <v>69</v>
      </c>
      <c r="BK96" s="13" t="s">
        <v>69</v>
      </c>
      <c r="BL96" s="14">
        <v>45301</v>
      </c>
      <c r="BM96" s="13" t="s">
        <v>69</v>
      </c>
      <c r="BN96" s="13" t="s">
        <v>69</v>
      </c>
      <c r="BO96" s="11" t="str">
        <f>HYPERLINK("https://my.pitchbook.com?c=544942-45","View Company Online")</f>
        <v>View Company Online</v>
      </c>
    </row>
    <row r="97" spans="1:67" x14ac:dyDescent="0.3">
      <c r="A97" s="3" t="s">
        <v>1406</v>
      </c>
      <c r="B97" s="3" t="s">
        <v>1407</v>
      </c>
      <c r="C97" s="3" t="s">
        <v>69</v>
      </c>
      <c r="D97" s="5" t="s">
        <v>69</v>
      </c>
      <c r="E97" s="3" t="s">
        <v>69</v>
      </c>
      <c r="F97" s="3" t="s">
        <v>69</v>
      </c>
      <c r="G97" s="3" t="s">
        <v>69</v>
      </c>
      <c r="H97" s="3" t="s">
        <v>69</v>
      </c>
      <c r="I97" s="4" t="s">
        <v>69</v>
      </c>
      <c r="J97" s="7" t="s">
        <v>69</v>
      </c>
      <c r="K97" s="4" t="s">
        <v>69</v>
      </c>
      <c r="L97" s="4" t="s">
        <v>69</v>
      </c>
      <c r="M97" s="4" t="s">
        <v>69</v>
      </c>
      <c r="N97" s="4" t="s">
        <v>69</v>
      </c>
      <c r="O97" s="4" t="s">
        <v>69</v>
      </c>
      <c r="P97" s="4" t="s">
        <v>69</v>
      </c>
      <c r="Q97" s="4" t="s">
        <v>69</v>
      </c>
      <c r="R97" s="6" t="s">
        <v>69</v>
      </c>
      <c r="S97" s="3" t="s">
        <v>1408</v>
      </c>
      <c r="T97" s="3" t="s">
        <v>1409</v>
      </c>
      <c r="U97" s="3" t="s">
        <v>1410</v>
      </c>
      <c r="V97" s="3" t="s">
        <v>1411</v>
      </c>
      <c r="W97" s="3" t="s">
        <v>1412</v>
      </c>
      <c r="X97" s="3" t="s">
        <v>1413</v>
      </c>
      <c r="Y97" s="3" t="s">
        <v>1414</v>
      </c>
      <c r="Z97" s="3" t="s">
        <v>1415</v>
      </c>
      <c r="AA97" s="3" t="s">
        <v>1416</v>
      </c>
      <c r="AB97" s="3" t="s">
        <v>1417</v>
      </c>
      <c r="AC97" s="6" t="s">
        <v>1418</v>
      </c>
      <c r="AD97" s="3" t="s">
        <v>1017</v>
      </c>
      <c r="AE97" s="6" t="s">
        <v>1412</v>
      </c>
      <c r="AF97" s="6" t="s">
        <v>1419</v>
      </c>
      <c r="AG97" s="3" t="s">
        <v>1420</v>
      </c>
      <c r="AH97" s="3" t="s">
        <v>1020</v>
      </c>
      <c r="AI97" s="3" t="s">
        <v>1020</v>
      </c>
      <c r="AJ97" s="3" t="s">
        <v>69</v>
      </c>
      <c r="AK97" s="3" t="s">
        <v>69</v>
      </c>
      <c r="AL97" s="3" t="s">
        <v>69</v>
      </c>
      <c r="AM97" s="3" t="s">
        <v>69</v>
      </c>
      <c r="AN97" s="3" t="s">
        <v>69</v>
      </c>
      <c r="AO97" s="3" t="s">
        <v>69</v>
      </c>
      <c r="AP97" s="3" t="s">
        <v>1406</v>
      </c>
      <c r="AQ97" s="3" t="s">
        <v>1421</v>
      </c>
      <c r="AR97" s="3" t="s">
        <v>422</v>
      </c>
      <c r="AS97" s="3" t="s">
        <v>423</v>
      </c>
      <c r="AT97" s="3" t="s">
        <v>1108</v>
      </c>
      <c r="AU97" s="3" t="s">
        <v>1422</v>
      </c>
      <c r="AV97" s="3" t="s">
        <v>1423</v>
      </c>
      <c r="AW97" s="3" t="s">
        <v>1424</v>
      </c>
      <c r="AX97" s="3" t="s">
        <v>69</v>
      </c>
      <c r="AY97" s="3" t="s">
        <v>90</v>
      </c>
      <c r="AZ97" s="8" t="s">
        <v>69</v>
      </c>
      <c r="BA97" s="3" t="s">
        <v>91</v>
      </c>
      <c r="BB97" s="3" t="s">
        <v>92</v>
      </c>
      <c r="BC97" s="3" t="s">
        <v>93</v>
      </c>
      <c r="BD97" s="12" t="str">
        <f>HYPERLINK("http://www.elegantmedia.com.au","www.elegantmedia.com.au")</f>
        <v>www.elegantmedia.com.au</v>
      </c>
      <c r="BE97" s="12" t="str">
        <f>HYPERLINK("http://www.linkedin.com/company/elegant-media-australia","http://www.linkedin.com/company/elegant-media-australia")</f>
        <v>http://www.linkedin.com/company/elegant-media-australia</v>
      </c>
      <c r="BF97" s="9">
        <v>50</v>
      </c>
      <c r="BG97" s="3" t="s">
        <v>1425</v>
      </c>
      <c r="BH97" s="3" t="s">
        <v>69</v>
      </c>
      <c r="BI97" s="3" t="s">
        <v>69</v>
      </c>
      <c r="BJ97" s="10">
        <v>2010</v>
      </c>
      <c r="BK97" s="3" t="s">
        <v>69</v>
      </c>
      <c r="BL97" s="1">
        <v>45636</v>
      </c>
      <c r="BM97" s="3" t="s">
        <v>69</v>
      </c>
      <c r="BN97" s="3" t="s">
        <v>69</v>
      </c>
      <c r="BO97" s="12" t="str">
        <f>HYPERLINK("https://my.pitchbook.com?c=235405-18","View Company Online")</f>
        <v>View Company Online</v>
      </c>
    </row>
    <row r="98" spans="1:67" x14ac:dyDescent="0.3">
      <c r="A98" s="13" t="s">
        <v>1426</v>
      </c>
      <c r="B98" s="13" t="s">
        <v>1427</v>
      </c>
      <c r="C98" s="13" t="s">
        <v>69</v>
      </c>
      <c r="D98" s="21" t="s">
        <v>69</v>
      </c>
      <c r="E98" s="13" t="s">
        <v>69</v>
      </c>
      <c r="F98" s="13" t="s">
        <v>69</v>
      </c>
      <c r="G98" s="13" t="s">
        <v>69</v>
      </c>
      <c r="H98" s="13" t="s">
        <v>69</v>
      </c>
      <c r="I98" s="19" t="s">
        <v>69</v>
      </c>
      <c r="J98" s="20" t="s">
        <v>69</v>
      </c>
      <c r="K98" s="19" t="s">
        <v>69</v>
      </c>
      <c r="L98" s="19" t="s">
        <v>69</v>
      </c>
      <c r="M98" s="19" t="s">
        <v>69</v>
      </c>
      <c r="N98" s="19" t="s">
        <v>69</v>
      </c>
      <c r="O98" s="19" t="s">
        <v>69</v>
      </c>
      <c r="P98" s="19" t="s">
        <v>69</v>
      </c>
      <c r="Q98" s="19" t="s">
        <v>69</v>
      </c>
      <c r="R98" s="18" t="s">
        <v>69</v>
      </c>
      <c r="S98" s="13" t="s">
        <v>69</v>
      </c>
      <c r="T98" s="13" t="s">
        <v>69</v>
      </c>
      <c r="U98" s="13" t="s">
        <v>69</v>
      </c>
      <c r="V98" s="13" t="s">
        <v>69</v>
      </c>
      <c r="W98" s="13" t="s">
        <v>69</v>
      </c>
      <c r="X98" s="13" t="s">
        <v>1428</v>
      </c>
      <c r="Y98" s="13" t="s">
        <v>1429</v>
      </c>
      <c r="Z98" s="13" t="s">
        <v>69</v>
      </c>
      <c r="AA98" s="13" t="s">
        <v>1430</v>
      </c>
      <c r="AB98" s="13" t="s">
        <v>806</v>
      </c>
      <c r="AC98" s="18" t="s">
        <v>1431</v>
      </c>
      <c r="AD98" s="13" t="s">
        <v>378</v>
      </c>
      <c r="AE98" s="18" t="s">
        <v>1432</v>
      </c>
      <c r="AF98" s="18" t="s">
        <v>69</v>
      </c>
      <c r="AG98" s="13" t="s">
        <v>69</v>
      </c>
      <c r="AH98" s="13" t="s">
        <v>379</v>
      </c>
      <c r="AI98" s="13" t="s">
        <v>380</v>
      </c>
      <c r="AJ98" s="13" t="s">
        <v>69</v>
      </c>
      <c r="AK98" s="13" t="s">
        <v>69</v>
      </c>
      <c r="AL98" s="13" t="s">
        <v>1433</v>
      </c>
      <c r="AM98" s="13" t="s">
        <v>69</v>
      </c>
      <c r="AN98" s="13" t="s">
        <v>69</v>
      </c>
      <c r="AO98" s="13" t="s">
        <v>69</v>
      </c>
      <c r="AP98" s="13" t="s">
        <v>1426</v>
      </c>
      <c r="AQ98" s="13" t="s">
        <v>1434</v>
      </c>
      <c r="AR98" s="13" t="s">
        <v>185</v>
      </c>
      <c r="AS98" s="13" t="s">
        <v>348</v>
      </c>
      <c r="AT98" s="13" t="s">
        <v>481</v>
      </c>
      <c r="AU98" s="13" t="s">
        <v>821</v>
      </c>
      <c r="AV98" s="13" t="s">
        <v>69</v>
      </c>
      <c r="AW98" s="13" t="s">
        <v>69</v>
      </c>
      <c r="AX98" s="13" t="s">
        <v>69</v>
      </c>
      <c r="AY98" s="13" t="s">
        <v>90</v>
      </c>
      <c r="AZ98" s="17" t="s">
        <v>69</v>
      </c>
      <c r="BA98" s="13" t="s">
        <v>1233</v>
      </c>
      <c r="BB98" s="13" t="s">
        <v>92</v>
      </c>
      <c r="BC98" s="13" t="s">
        <v>93</v>
      </c>
      <c r="BD98" s="11" t="str">
        <f>HYPERLINK("http://elevationsecurity.com","elevationsecurity.com")</f>
        <v>elevationsecurity.com</v>
      </c>
      <c r="BE98" s="13" t="s">
        <v>69</v>
      </c>
      <c r="BF98" s="16">
        <v>60</v>
      </c>
      <c r="BG98" s="13" t="s">
        <v>1435</v>
      </c>
      <c r="BH98" s="13" t="s">
        <v>69</v>
      </c>
      <c r="BI98" s="13" t="s">
        <v>69</v>
      </c>
      <c r="BJ98" s="15">
        <v>2014</v>
      </c>
      <c r="BK98" s="13" t="s">
        <v>69</v>
      </c>
      <c r="BL98" s="14">
        <v>45741</v>
      </c>
      <c r="BM98" s="13" t="s">
        <v>69</v>
      </c>
      <c r="BN98" s="13" t="s">
        <v>69</v>
      </c>
      <c r="BO98" s="11" t="str">
        <f>HYPERLINK("https://my.pitchbook.com?c=757726-57","View Company Online")</f>
        <v>View Company Online</v>
      </c>
    </row>
    <row r="99" spans="1:67" x14ac:dyDescent="0.3">
      <c r="A99" s="3" t="s">
        <v>1436</v>
      </c>
      <c r="B99" s="3" t="s">
        <v>1437</v>
      </c>
      <c r="C99" s="3" t="s">
        <v>69</v>
      </c>
      <c r="D99" s="5" t="s">
        <v>69</v>
      </c>
      <c r="E99" s="3" t="s">
        <v>69</v>
      </c>
      <c r="F99" s="3" t="s">
        <v>69</v>
      </c>
      <c r="G99" s="3" t="s">
        <v>69</v>
      </c>
      <c r="H99" s="3" t="s">
        <v>69</v>
      </c>
      <c r="I99" s="4" t="s">
        <v>69</v>
      </c>
      <c r="J99" s="7" t="s">
        <v>69</v>
      </c>
      <c r="K99" s="4" t="s">
        <v>69</v>
      </c>
      <c r="L99" s="4" t="s">
        <v>69</v>
      </c>
      <c r="M99" s="4" t="s">
        <v>69</v>
      </c>
      <c r="N99" s="4" t="s">
        <v>69</v>
      </c>
      <c r="O99" s="4" t="s">
        <v>69</v>
      </c>
      <c r="P99" s="4" t="s">
        <v>69</v>
      </c>
      <c r="Q99" s="4" t="s">
        <v>69</v>
      </c>
      <c r="R99" s="6" t="s">
        <v>69</v>
      </c>
      <c r="S99" s="3" t="s">
        <v>69</v>
      </c>
      <c r="T99" s="3" t="s">
        <v>69</v>
      </c>
      <c r="U99" s="3" t="s">
        <v>69</v>
      </c>
      <c r="V99" s="3" t="s">
        <v>69</v>
      </c>
      <c r="W99" s="3" t="s">
        <v>69</v>
      </c>
      <c r="X99" s="3" t="s">
        <v>1438</v>
      </c>
      <c r="Y99" s="3" t="s">
        <v>1439</v>
      </c>
      <c r="Z99" s="3" t="s">
        <v>69</v>
      </c>
      <c r="AA99" s="3" t="s">
        <v>1440</v>
      </c>
      <c r="AB99" s="3" t="s">
        <v>1441</v>
      </c>
      <c r="AC99" s="6" t="s">
        <v>1442</v>
      </c>
      <c r="AD99" s="3" t="s">
        <v>497</v>
      </c>
      <c r="AE99" s="6" t="s">
        <v>69</v>
      </c>
      <c r="AF99" s="6" t="s">
        <v>69</v>
      </c>
      <c r="AG99" s="3" t="s">
        <v>69</v>
      </c>
      <c r="AH99" s="3" t="s">
        <v>78</v>
      </c>
      <c r="AI99" s="3" t="s">
        <v>132</v>
      </c>
      <c r="AJ99" s="3" t="s">
        <v>69</v>
      </c>
      <c r="AK99" s="3" t="s">
        <v>69</v>
      </c>
      <c r="AL99" s="3" t="s">
        <v>1443</v>
      </c>
      <c r="AM99" s="3" t="s">
        <v>69</v>
      </c>
      <c r="AN99" s="3" t="s">
        <v>69</v>
      </c>
      <c r="AO99" s="3" t="s">
        <v>69</v>
      </c>
      <c r="AP99" s="3" t="s">
        <v>1436</v>
      </c>
      <c r="AQ99" s="3" t="s">
        <v>1444</v>
      </c>
      <c r="AR99" s="3" t="s">
        <v>185</v>
      </c>
      <c r="AS99" s="3" t="s">
        <v>186</v>
      </c>
      <c r="AT99" s="3" t="s">
        <v>877</v>
      </c>
      <c r="AU99" s="3" t="s">
        <v>878</v>
      </c>
      <c r="AV99" s="3" t="s">
        <v>69</v>
      </c>
      <c r="AW99" s="3" t="s">
        <v>69</v>
      </c>
      <c r="AX99" s="3" t="s">
        <v>69</v>
      </c>
      <c r="AY99" s="3" t="s">
        <v>90</v>
      </c>
      <c r="AZ99" s="8" t="s">
        <v>69</v>
      </c>
      <c r="BA99" s="3" t="s">
        <v>69</v>
      </c>
      <c r="BB99" s="3" t="s">
        <v>92</v>
      </c>
      <c r="BC99" s="3" t="s">
        <v>93</v>
      </c>
      <c r="BD99" s="12" t="str">
        <f>HYPERLINK("http://empsa.ch","empsa.ch")</f>
        <v>empsa.ch</v>
      </c>
      <c r="BE99" s="12" t="str">
        <f>HYPERLINK("http://www.linkedin.com/company/emp-sa-ebauches-micromécanique-precitrame-sa","http://www.linkedin.com/company/emp-sa-ebauches-micromécanique-precitrame-sa")</f>
        <v>http://www.linkedin.com/company/emp-sa-ebauches-micromécanique-precitrame-sa</v>
      </c>
      <c r="BF99" s="9">
        <v>110</v>
      </c>
      <c r="BG99" s="3" t="s">
        <v>1445</v>
      </c>
      <c r="BH99" s="3" t="s">
        <v>69</v>
      </c>
      <c r="BI99" s="3" t="s">
        <v>69</v>
      </c>
      <c r="BJ99" s="10">
        <v>1983</v>
      </c>
      <c r="BK99" s="3" t="s">
        <v>69</v>
      </c>
      <c r="BL99" s="1">
        <v>45732</v>
      </c>
      <c r="BM99" s="3" t="s">
        <v>69</v>
      </c>
      <c r="BN99" s="3" t="s">
        <v>69</v>
      </c>
      <c r="BO99" s="12" t="str">
        <f>HYPERLINK("https://my.pitchbook.com?c=761819-41","View Company Online")</f>
        <v>View Company Online</v>
      </c>
    </row>
    <row r="100" spans="1:67" x14ac:dyDescent="0.3">
      <c r="A100" s="13" t="s">
        <v>1446</v>
      </c>
      <c r="B100" s="13" t="s">
        <v>1447</v>
      </c>
      <c r="C100" s="13" t="s">
        <v>69</v>
      </c>
      <c r="D100" s="21" t="s">
        <v>69</v>
      </c>
      <c r="E100" s="13" t="s">
        <v>69</v>
      </c>
      <c r="F100" s="13" t="s">
        <v>69</v>
      </c>
      <c r="G100" s="13" t="s">
        <v>69</v>
      </c>
      <c r="H100" s="13" t="s">
        <v>69</v>
      </c>
      <c r="I100" s="19" t="s">
        <v>69</v>
      </c>
      <c r="J100" s="20" t="s">
        <v>69</v>
      </c>
      <c r="K100" s="19" t="s">
        <v>69</v>
      </c>
      <c r="L100" s="19" t="s">
        <v>69</v>
      </c>
      <c r="M100" s="19" t="s">
        <v>69</v>
      </c>
      <c r="N100" s="19" t="s">
        <v>69</v>
      </c>
      <c r="O100" s="19" t="s">
        <v>69</v>
      </c>
      <c r="P100" s="19" t="s">
        <v>69</v>
      </c>
      <c r="Q100" s="19">
        <v>0</v>
      </c>
      <c r="R100" s="18" t="s">
        <v>70</v>
      </c>
      <c r="S100" s="13" t="s">
        <v>69</v>
      </c>
      <c r="T100" s="13" t="s">
        <v>69</v>
      </c>
      <c r="U100" s="13" t="s">
        <v>69</v>
      </c>
      <c r="V100" s="13" t="s">
        <v>69</v>
      </c>
      <c r="W100" s="13" t="s">
        <v>69</v>
      </c>
      <c r="X100" s="13" t="s">
        <v>307</v>
      </c>
      <c r="Y100" s="13" t="s">
        <v>1448</v>
      </c>
      <c r="Z100" s="13" t="s">
        <v>69</v>
      </c>
      <c r="AA100" s="13" t="s">
        <v>309</v>
      </c>
      <c r="AB100" s="13" t="s">
        <v>222</v>
      </c>
      <c r="AC100" s="18" t="s">
        <v>1449</v>
      </c>
      <c r="AD100" s="13" t="s">
        <v>162</v>
      </c>
      <c r="AE100" s="18" t="s">
        <v>69</v>
      </c>
      <c r="AF100" s="18" t="s">
        <v>69</v>
      </c>
      <c r="AG100" s="13" t="s">
        <v>69</v>
      </c>
      <c r="AH100" s="13" t="s">
        <v>78</v>
      </c>
      <c r="AI100" s="13" t="s">
        <v>132</v>
      </c>
      <c r="AJ100" s="13" t="s">
        <v>69</v>
      </c>
      <c r="AK100" s="13" t="s">
        <v>69</v>
      </c>
      <c r="AL100" s="13" t="s">
        <v>1450</v>
      </c>
      <c r="AM100" s="13" t="s">
        <v>1451</v>
      </c>
      <c r="AN100" s="13" t="s">
        <v>165</v>
      </c>
      <c r="AO100" s="13" t="s">
        <v>69</v>
      </c>
      <c r="AP100" s="13" t="s">
        <v>1446</v>
      </c>
      <c r="AQ100" s="13" t="s">
        <v>1452</v>
      </c>
      <c r="AR100" s="13" t="s">
        <v>85</v>
      </c>
      <c r="AS100" s="13" t="s">
        <v>271</v>
      </c>
      <c r="AT100" s="13" t="s">
        <v>1453</v>
      </c>
      <c r="AU100" s="13" t="s">
        <v>1454</v>
      </c>
      <c r="AV100" s="13" t="s">
        <v>69</v>
      </c>
      <c r="AW100" s="13" t="s">
        <v>69</v>
      </c>
      <c r="AX100" s="13" t="s">
        <v>69</v>
      </c>
      <c r="AY100" s="13" t="s">
        <v>90</v>
      </c>
      <c r="AZ100" s="17" t="s">
        <v>69</v>
      </c>
      <c r="BA100" s="13" t="s">
        <v>69</v>
      </c>
      <c r="BB100" s="13" t="s">
        <v>92</v>
      </c>
      <c r="BC100" s="13" t="s">
        <v>93</v>
      </c>
      <c r="BD100" s="11" t="str">
        <f>HYPERLINK("http://enigmasecuritysolutions.com","enigmasecuritysolutions.com")</f>
        <v>enigmasecuritysolutions.com</v>
      </c>
      <c r="BE100" s="11" t="str">
        <f>HYPERLINK("http://www.linkedin.com/company/enigma-security-solutions-limited","http://www.linkedin.com/company/enigma-security-solutions-limited")</f>
        <v>http://www.linkedin.com/company/enigma-security-solutions-limited</v>
      </c>
      <c r="BF100" s="16">
        <v>253</v>
      </c>
      <c r="BG100" s="13" t="s">
        <v>1455</v>
      </c>
      <c r="BH100" s="13" t="s">
        <v>69</v>
      </c>
      <c r="BI100" s="13" t="s">
        <v>69</v>
      </c>
      <c r="BJ100" s="15">
        <v>2005</v>
      </c>
      <c r="BK100" s="13" t="s">
        <v>69</v>
      </c>
      <c r="BL100" s="14">
        <v>45761</v>
      </c>
      <c r="BM100" s="13" t="s">
        <v>69</v>
      </c>
      <c r="BN100" s="13" t="s">
        <v>69</v>
      </c>
      <c r="BO100" s="11" t="str">
        <f>HYPERLINK("https://my.pitchbook.com?c=753554-80","View Company Online")</f>
        <v>View Company Online</v>
      </c>
    </row>
    <row r="101" spans="1:67" x14ac:dyDescent="0.3">
      <c r="A101" s="3" t="s">
        <v>1456</v>
      </c>
      <c r="B101" s="3" t="s">
        <v>1457</v>
      </c>
      <c r="C101" s="3" t="s">
        <v>69</v>
      </c>
      <c r="D101" s="5" t="s">
        <v>69</v>
      </c>
      <c r="E101" s="3" t="s">
        <v>69</v>
      </c>
      <c r="F101" s="3" t="s">
        <v>69</v>
      </c>
      <c r="G101" s="3" t="s">
        <v>69</v>
      </c>
      <c r="H101" s="3" t="s">
        <v>69</v>
      </c>
      <c r="I101" s="4" t="s">
        <v>69</v>
      </c>
      <c r="J101" s="7" t="s">
        <v>69</v>
      </c>
      <c r="K101" s="4" t="s">
        <v>69</v>
      </c>
      <c r="L101" s="4" t="s">
        <v>69</v>
      </c>
      <c r="M101" s="4" t="s">
        <v>69</v>
      </c>
      <c r="N101" s="4" t="s">
        <v>69</v>
      </c>
      <c r="O101" s="4" t="s">
        <v>69</v>
      </c>
      <c r="P101" s="4" t="s">
        <v>69</v>
      </c>
      <c r="Q101" s="4" t="s">
        <v>69</v>
      </c>
      <c r="R101" s="6" t="s">
        <v>69</v>
      </c>
      <c r="S101" s="3" t="s">
        <v>69</v>
      </c>
      <c r="T101" s="3" t="s">
        <v>69</v>
      </c>
      <c r="U101" s="3" t="s">
        <v>69</v>
      </c>
      <c r="V101" s="3" t="s">
        <v>69</v>
      </c>
      <c r="W101" s="3" t="s">
        <v>69</v>
      </c>
      <c r="X101" s="3" t="s">
        <v>1458</v>
      </c>
      <c r="Y101" s="3" t="s">
        <v>1459</v>
      </c>
      <c r="Z101" s="3" t="s">
        <v>69</v>
      </c>
      <c r="AA101" s="3" t="s">
        <v>1460</v>
      </c>
      <c r="AB101" s="3" t="s">
        <v>1195</v>
      </c>
      <c r="AC101" s="6" t="s">
        <v>1461</v>
      </c>
      <c r="AD101" s="3" t="s">
        <v>378</v>
      </c>
      <c r="AE101" s="6" t="s">
        <v>69</v>
      </c>
      <c r="AF101" s="6" t="s">
        <v>69</v>
      </c>
      <c r="AG101" s="3" t="s">
        <v>69</v>
      </c>
      <c r="AH101" s="3" t="s">
        <v>379</v>
      </c>
      <c r="AI101" s="3" t="s">
        <v>380</v>
      </c>
      <c r="AJ101" s="3" t="s">
        <v>69</v>
      </c>
      <c r="AK101" s="3" t="s">
        <v>69</v>
      </c>
      <c r="AL101" s="3" t="s">
        <v>69</v>
      </c>
      <c r="AM101" s="3" t="s">
        <v>69</v>
      </c>
      <c r="AN101" s="3" t="s">
        <v>69</v>
      </c>
      <c r="AO101" s="3" t="s">
        <v>69</v>
      </c>
      <c r="AP101" s="3" t="s">
        <v>1456</v>
      </c>
      <c r="AQ101" s="3" t="s">
        <v>1462</v>
      </c>
      <c r="AR101" s="3" t="s">
        <v>85</v>
      </c>
      <c r="AS101" s="3" t="s">
        <v>1058</v>
      </c>
      <c r="AT101" s="3" t="s">
        <v>1059</v>
      </c>
      <c r="AU101" s="3" t="s">
        <v>1060</v>
      </c>
      <c r="AV101" s="3" t="s">
        <v>69</v>
      </c>
      <c r="AW101" s="3" t="s">
        <v>1463</v>
      </c>
      <c r="AX101" s="3" t="s">
        <v>69</v>
      </c>
      <c r="AY101" s="3" t="s">
        <v>90</v>
      </c>
      <c r="AZ101" s="8" t="s">
        <v>69</v>
      </c>
      <c r="BA101" s="3" t="s">
        <v>69</v>
      </c>
      <c r="BB101" s="3" t="s">
        <v>92</v>
      </c>
      <c r="BC101" s="3" t="s">
        <v>93</v>
      </c>
      <c r="BD101" s="12" t="str">
        <f>HYPERLINK("http://fit4lifehealthclubs.com","fit4lifehealthclubs.com")</f>
        <v>fit4lifehealthclubs.com</v>
      </c>
      <c r="BE101" s="12" t="str">
        <f>HYPERLINK("http://www.linkedin.com/company/fit4-life","http://www.linkedin.com/company/fit4-life")</f>
        <v>http://www.linkedin.com/company/fit4-life</v>
      </c>
      <c r="BF101" s="9">
        <v>178</v>
      </c>
      <c r="BG101" s="3" t="s">
        <v>1464</v>
      </c>
      <c r="BH101" s="3" t="s">
        <v>69</v>
      </c>
      <c r="BI101" s="3" t="s">
        <v>69</v>
      </c>
      <c r="BJ101" s="10">
        <v>2007</v>
      </c>
      <c r="BK101" s="3" t="s">
        <v>69</v>
      </c>
      <c r="BL101" s="1">
        <v>45544</v>
      </c>
      <c r="BM101" s="3" t="s">
        <v>69</v>
      </c>
      <c r="BN101" s="3" t="s">
        <v>69</v>
      </c>
      <c r="BO101" s="12" t="str">
        <f>HYPERLINK("https://my.pitchbook.com?c=650228-86","View Company Online")</f>
        <v>View Company Online</v>
      </c>
    </row>
    <row r="102" spans="1:67" x14ac:dyDescent="0.3">
      <c r="A102" s="13" t="s">
        <v>1465</v>
      </c>
      <c r="B102" s="13" t="s">
        <v>1466</v>
      </c>
      <c r="C102" s="13" t="s">
        <v>69</v>
      </c>
      <c r="D102" s="21" t="s">
        <v>69</v>
      </c>
      <c r="E102" s="13" t="s">
        <v>69</v>
      </c>
      <c r="F102" s="13" t="s">
        <v>69</v>
      </c>
      <c r="G102" s="13" t="s">
        <v>69</v>
      </c>
      <c r="H102" s="13" t="s">
        <v>69</v>
      </c>
      <c r="I102" s="19" t="s">
        <v>69</v>
      </c>
      <c r="J102" s="20" t="s">
        <v>69</v>
      </c>
      <c r="K102" s="19" t="s">
        <v>69</v>
      </c>
      <c r="L102" s="19" t="s">
        <v>69</v>
      </c>
      <c r="M102" s="19" t="s">
        <v>69</v>
      </c>
      <c r="N102" s="19" t="s">
        <v>69</v>
      </c>
      <c r="O102" s="19" t="s">
        <v>69</v>
      </c>
      <c r="P102" s="19" t="s">
        <v>69</v>
      </c>
      <c r="Q102" s="19" t="s">
        <v>69</v>
      </c>
      <c r="R102" s="18" t="s">
        <v>69</v>
      </c>
      <c r="S102" s="13" t="s">
        <v>69</v>
      </c>
      <c r="T102" s="13" t="s">
        <v>69</v>
      </c>
      <c r="U102" s="13" t="s">
        <v>69</v>
      </c>
      <c r="V102" s="13" t="s">
        <v>69</v>
      </c>
      <c r="W102" s="13" t="s">
        <v>69</v>
      </c>
      <c r="X102" s="13" t="s">
        <v>1467</v>
      </c>
      <c r="Y102" s="13" t="s">
        <v>69</v>
      </c>
      <c r="Z102" s="13" t="s">
        <v>69</v>
      </c>
      <c r="AA102" s="13" t="s">
        <v>1468</v>
      </c>
      <c r="AB102" s="13" t="s">
        <v>850</v>
      </c>
      <c r="AC102" s="18" t="s">
        <v>1469</v>
      </c>
      <c r="AD102" s="13" t="s">
        <v>378</v>
      </c>
      <c r="AE102" s="18" t="s">
        <v>69</v>
      </c>
      <c r="AF102" s="18" t="s">
        <v>69</v>
      </c>
      <c r="AG102" s="13" t="s">
        <v>69</v>
      </c>
      <c r="AH102" s="13" t="s">
        <v>379</v>
      </c>
      <c r="AI102" s="13" t="s">
        <v>380</v>
      </c>
      <c r="AJ102" s="13" t="s">
        <v>69</v>
      </c>
      <c r="AK102" s="13" t="s">
        <v>69</v>
      </c>
      <c r="AL102" s="13" t="s">
        <v>69</v>
      </c>
      <c r="AM102" s="13" t="s">
        <v>69</v>
      </c>
      <c r="AN102" s="13" t="s">
        <v>69</v>
      </c>
      <c r="AO102" s="13" t="s">
        <v>69</v>
      </c>
      <c r="AP102" s="13" t="s">
        <v>1465</v>
      </c>
      <c r="AQ102" s="13" t="s">
        <v>1470</v>
      </c>
      <c r="AR102" s="13" t="s">
        <v>85</v>
      </c>
      <c r="AS102" s="13" t="s">
        <v>711</v>
      </c>
      <c r="AT102" s="13" t="s">
        <v>1471</v>
      </c>
      <c r="AU102" s="13" t="s">
        <v>1472</v>
      </c>
      <c r="AV102" s="13" t="s">
        <v>69</v>
      </c>
      <c r="AW102" s="13" t="s">
        <v>1473</v>
      </c>
      <c r="AX102" s="13" t="s">
        <v>69</v>
      </c>
      <c r="AY102" s="13" t="s">
        <v>90</v>
      </c>
      <c r="AZ102" s="17" t="s">
        <v>69</v>
      </c>
      <c r="BA102" s="13" t="s">
        <v>91</v>
      </c>
      <c r="BB102" s="13" t="s">
        <v>92</v>
      </c>
      <c r="BC102" s="13" t="s">
        <v>93</v>
      </c>
      <c r="BD102" s="11" t="str">
        <f>HYPERLINK("http://flagshipsd.com","flagshipsd.com")</f>
        <v>flagshipsd.com</v>
      </c>
      <c r="BE102" s="11" t="str">
        <f>HYPERLINK("http://www.linkedin.com/company/flagship-cruises-&amp;-events","http://www.linkedin.com/company/flagship-cruises-&amp;-events")</f>
        <v>http://www.linkedin.com/company/flagship-cruises-&amp;-events</v>
      </c>
      <c r="BF102" s="16">
        <v>69</v>
      </c>
      <c r="BG102" s="13" t="s">
        <v>1474</v>
      </c>
      <c r="BH102" s="13" t="s">
        <v>69</v>
      </c>
      <c r="BI102" s="13" t="s">
        <v>69</v>
      </c>
      <c r="BJ102" s="15">
        <v>1915</v>
      </c>
      <c r="BK102" s="13" t="s">
        <v>69</v>
      </c>
      <c r="BL102" s="14">
        <v>45163</v>
      </c>
      <c r="BM102" s="13" t="s">
        <v>69</v>
      </c>
      <c r="BN102" s="13" t="s">
        <v>69</v>
      </c>
      <c r="BO102" s="11" t="str">
        <f>HYPERLINK("https://my.pitchbook.com?c=238896-82","View Company Online")</f>
        <v>View Company Online</v>
      </c>
    </row>
    <row r="103" spans="1:67" x14ac:dyDescent="0.3">
      <c r="A103" s="3" t="s">
        <v>1475</v>
      </c>
      <c r="B103" s="3" t="s">
        <v>1476</v>
      </c>
      <c r="C103" s="3" t="s">
        <v>69</v>
      </c>
      <c r="D103" s="5" t="s">
        <v>69</v>
      </c>
      <c r="E103" s="3" t="s">
        <v>69</v>
      </c>
      <c r="F103" s="3" t="s">
        <v>69</v>
      </c>
      <c r="G103" s="3" t="s">
        <v>69</v>
      </c>
      <c r="H103" s="3" t="s">
        <v>69</v>
      </c>
      <c r="I103" s="4" t="s">
        <v>69</v>
      </c>
      <c r="J103" s="7" t="s">
        <v>69</v>
      </c>
      <c r="K103" s="4" t="s">
        <v>69</v>
      </c>
      <c r="L103" s="4">
        <v>2.23</v>
      </c>
      <c r="M103" s="4" t="s">
        <v>69</v>
      </c>
      <c r="N103" s="4">
        <v>2.23</v>
      </c>
      <c r="O103" s="4">
        <v>1.44</v>
      </c>
      <c r="P103" s="4" t="s">
        <v>69</v>
      </c>
      <c r="Q103" s="4">
        <v>0</v>
      </c>
      <c r="R103" s="6" t="s">
        <v>70</v>
      </c>
      <c r="S103" s="3" t="s">
        <v>1477</v>
      </c>
      <c r="T103" s="3" t="s">
        <v>1478</v>
      </c>
      <c r="U103" s="3" t="s">
        <v>1479</v>
      </c>
      <c r="V103" s="3" t="s">
        <v>1480</v>
      </c>
      <c r="W103" s="3" t="s">
        <v>1481</v>
      </c>
      <c r="X103" s="3" t="s">
        <v>1482</v>
      </c>
      <c r="Y103" s="3" t="s">
        <v>1483</v>
      </c>
      <c r="Z103" s="3" t="s">
        <v>69</v>
      </c>
      <c r="AA103" s="3" t="s">
        <v>1484</v>
      </c>
      <c r="AB103" s="3" t="s">
        <v>69</v>
      </c>
      <c r="AC103" s="6" t="s">
        <v>1485</v>
      </c>
      <c r="AD103" s="3" t="s">
        <v>1486</v>
      </c>
      <c r="AE103" s="6" t="s">
        <v>1481</v>
      </c>
      <c r="AF103" s="6" t="s">
        <v>69</v>
      </c>
      <c r="AG103" s="3" t="s">
        <v>1487</v>
      </c>
      <c r="AH103" s="3" t="s">
        <v>78</v>
      </c>
      <c r="AI103" s="3" t="s">
        <v>132</v>
      </c>
      <c r="AJ103" s="3" t="s">
        <v>69</v>
      </c>
      <c r="AK103" s="3" t="s">
        <v>69</v>
      </c>
      <c r="AL103" s="3" t="s">
        <v>1488</v>
      </c>
      <c r="AM103" s="3" t="s">
        <v>1489</v>
      </c>
      <c r="AN103" s="3" t="s">
        <v>1490</v>
      </c>
      <c r="AO103" s="3" t="s">
        <v>69</v>
      </c>
      <c r="AP103" s="3" t="s">
        <v>1475</v>
      </c>
      <c r="AQ103" s="3" t="s">
        <v>1491</v>
      </c>
      <c r="AR103" s="3" t="s">
        <v>422</v>
      </c>
      <c r="AS103" s="3" t="s">
        <v>423</v>
      </c>
      <c r="AT103" s="3" t="s">
        <v>1108</v>
      </c>
      <c r="AU103" s="3" t="s">
        <v>1492</v>
      </c>
      <c r="AV103" s="3" t="s">
        <v>69</v>
      </c>
      <c r="AW103" s="3" t="s">
        <v>1493</v>
      </c>
      <c r="AX103" s="3" t="s">
        <v>69</v>
      </c>
      <c r="AY103" s="3" t="s">
        <v>90</v>
      </c>
      <c r="AZ103" s="8" t="s">
        <v>69</v>
      </c>
      <c r="BA103" s="3" t="s">
        <v>91</v>
      </c>
      <c r="BB103" s="3" t="s">
        <v>92</v>
      </c>
      <c r="BC103" s="3" t="s">
        <v>93</v>
      </c>
      <c r="BD103" s="12" t="str">
        <f>HYPERLINK("http://www.foveaip.com","www.foveaip.com")</f>
        <v>www.foveaip.com</v>
      </c>
      <c r="BE103" s="12" t="str">
        <f>HYPERLINK("http://www.linkedin.com/company/foveaip","http://www.linkedin.com/company/foveaip")</f>
        <v>http://www.linkedin.com/company/foveaip</v>
      </c>
      <c r="BF103" s="9">
        <v>200</v>
      </c>
      <c r="BG103" s="3" t="s">
        <v>1494</v>
      </c>
      <c r="BH103" s="3" t="s">
        <v>69</v>
      </c>
      <c r="BI103" s="3" t="s">
        <v>69</v>
      </c>
      <c r="BJ103" s="10">
        <v>2017</v>
      </c>
      <c r="BK103" s="3" t="s">
        <v>69</v>
      </c>
      <c r="BL103" s="1">
        <v>45588</v>
      </c>
      <c r="BM103" s="3" t="s">
        <v>69</v>
      </c>
      <c r="BN103" s="3" t="s">
        <v>69</v>
      </c>
      <c r="BO103" s="12" t="str">
        <f>HYPERLINK("https://my.pitchbook.com?c=507168-01","View Company Online")</f>
        <v>View Company Online</v>
      </c>
    </row>
    <row r="104" spans="1:67" x14ac:dyDescent="0.3">
      <c r="A104" s="13" t="s">
        <v>1495</v>
      </c>
      <c r="B104" s="13" t="s">
        <v>1496</v>
      </c>
      <c r="C104" s="13" t="s">
        <v>69</v>
      </c>
      <c r="D104" s="21" t="s">
        <v>69</v>
      </c>
      <c r="E104" s="13" t="s">
        <v>69</v>
      </c>
      <c r="F104" s="13" t="s">
        <v>69</v>
      </c>
      <c r="G104" s="13" t="s">
        <v>69</v>
      </c>
      <c r="H104" s="13" t="s">
        <v>1497</v>
      </c>
      <c r="I104" s="19" t="s">
        <v>69</v>
      </c>
      <c r="J104" s="20" t="s">
        <v>69</v>
      </c>
      <c r="K104" s="19" t="s">
        <v>69</v>
      </c>
      <c r="L104" s="19" t="s">
        <v>69</v>
      </c>
      <c r="M104" s="19" t="s">
        <v>69</v>
      </c>
      <c r="N104" s="19" t="s">
        <v>69</v>
      </c>
      <c r="O104" s="19" t="s">
        <v>69</v>
      </c>
      <c r="P104" s="19" t="s">
        <v>69</v>
      </c>
      <c r="Q104" s="19" t="s">
        <v>69</v>
      </c>
      <c r="R104" s="18" t="s">
        <v>69</v>
      </c>
      <c r="S104" s="13" t="s">
        <v>1498</v>
      </c>
      <c r="T104" s="13" t="s">
        <v>1499</v>
      </c>
      <c r="U104" s="13" t="s">
        <v>1500</v>
      </c>
      <c r="V104" s="13" t="s">
        <v>69</v>
      </c>
      <c r="W104" s="13" t="s">
        <v>69</v>
      </c>
      <c r="X104" s="13" t="s">
        <v>1501</v>
      </c>
      <c r="Y104" s="13" t="s">
        <v>1502</v>
      </c>
      <c r="Z104" s="13" t="s">
        <v>1503</v>
      </c>
      <c r="AA104" s="13" t="s">
        <v>1504</v>
      </c>
      <c r="AB104" s="13" t="s">
        <v>850</v>
      </c>
      <c r="AC104" s="18" t="s">
        <v>1505</v>
      </c>
      <c r="AD104" s="13" t="s">
        <v>378</v>
      </c>
      <c r="AE104" s="18" t="s">
        <v>69</v>
      </c>
      <c r="AF104" s="18" t="s">
        <v>69</v>
      </c>
      <c r="AG104" s="13" t="s">
        <v>1506</v>
      </c>
      <c r="AH104" s="13" t="s">
        <v>379</v>
      </c>
      <c r="AI104" s="13" t="s">
        <v>380</v>
      </c>
      <c r="AJ104" s="13" t="s">
        <v>69</v>
      </c>
      <c r="AK104" s="13" t="s">
        <v>69</v>
      </c>
      <c r="AL104" s="13" t="s">
        <v>1507</v>
      </c>
      <c r="AM104" s="13" t="s">
        <v>69</v>
      </c>
      <c r="AN104" s="13" t="s">
        <v>69</v>
      </c>
      <c r="AO104" s="13" t="s">
        <v>1508</v>
      </c>
      <c r="AP104" s="13" t="s">
        <v>1495</v>
      </c>
      <c r="AQ104" s="13" t="s">
        <v>1509</v>
      </c>
      <c r="AR104" s="13" t="s">
        <v>85</v>
      </c>
      <c r="AS104" s="13" t="s">
        <v>271</v>
      </c>
      <c r="AT104" s="13" t="s">
        <v>272</v>
      </c>
      <c r="AU104" s="13" t="s">
        <v>1510</v>
      </c>
      <c r="AV104" s="13" t="s">
        <v>1511</v>
      </c>
      <c r="AW104" s="13" t="s">
        <v>1512</v>
      </c>
      <c r="AX104" s="13" t="s">
        <v>69</v>
      </c>
      <c r="AY104" s="13" t="s">
        <v>90</v>
      </c>
      <c r="AZ104" s="17" t="s">
        <v>69</v>
      </c>
      <c r="BA104" s="13" t="s">
        <v>1513</v>
      </c>
      <c r="BB104" s="13" t="s">
        <v>92</v>
      </c>
      <c r="BC104" s="13" t="s">
        <v>93</v>
      </c>
      <c r="BD104" s="11" t="str">
        <f>HYPERLINK("http://www.shopus.furbo.com","www.shopus.furbo.com")</f>
        <v>www.shopus.furbo.com</v>
      </c>
      <c r="BE104" s="11" t="str">
        <f>HYPERLINK("http://www.linkedin.com/company/tomofun","http://www.linkedin.com/company/tomofun")</f>
        <v>http://www.linkedin.com/company/tomofun</v>
      </c>
      <c r="BF104" s="16">
        <v>148</v>
      </c>
      <c r="BG104" s="13" t="s">
        <v>1514</v>
      </c>
      <c r="BH104" s="13" t="s">
        <v>69</v>
      </c>
      <c r="BI104" s="13" t="s">
        <v>69</v>
      </c>
      <c r="BJ104" s="15">
        <v>2014</v>
      </c>
      <c r="BK104" s="13" t="s">
        <v>69</v>
      </c>
      <c r="BL104" s="14">
        <v>45219</v>
      </c>
      <c r="BM104" s="13" t="s">
        <v>69</v>
      </c>
      <c r="BN104" s="13" t="s">
        <v>69</v>
      </c>
      <c r="BO104" s="11" t="str">
        <f>HYPERLINK("https://my.pitchbook.com?c=157938-40","View Company Online")</f>
        <v>View Company Online</v>
      </c>
    </row>
    <row r="105" spans="1:67" x14ac:dyDescent="0.3">
      <c r="A105" s="3" t="s">
        <v>1515</v>
      </c>
      <c r="B105" s="3" t="s">
        <v>1516</v>
      </c>
      <c r="C105" s="3" t="s">
        <v>69</v>
      </c>
      <c r="D105" s="5" t="s">
        <v>69</v>
      </c>
      <c r="E105" s="3" t="s">
        <v>69</v>
      </c>
      <c r="F105" s="3" t="s">
        <v>69</v>
      </c>
      <c r="G105" s="3" t="s">
        <v>69</v>
      </c>
      <c r="H105" s="3" t="s">
        <v>69</v>
      </c>
      <c r="I105" s="4" t="s">
        <v>69</v>
      </c>
      <c r="J105" s="7" t="s">
        <v>69</v>
      </c>
      <c r="K105" s="4" t="s">
        <v>69</v>
      </c>
      <c r="L105" s="4" t="s">
        <v>69</v>
      </c>
      <c r="M105" s="4" t="s">
        <v>69</v>
      </c>
      <c r="N105" s="4" t="s">
        <v>69</v>
      </c>
      <c r="O105" s="4" t="s">
        <v>69</v>
      </c>
      <c r="P105" s="4" t="s">
        <v>69</v>
      </c>
      <c r="Q105" s="4" t="s">
        <v>69</v>
      </c>
      <c r="R105" s="6" t="s">
        <v>69</v>
      </c>
      <c r="S105" s="3" t="s">
        <v>69</v>
      </c>
      <c r="T105" s="3" t="s">
        <v>69</v>
      </c>
      <c r="U105" s="3" t="s">
        <v>69</v>
      </c>
      <c r="V105" s="3" t="s">
        <v>69</v>
      </c>
      <c r="W105" s="3" t="s">
        <v>69</v>
      </c>
      <c r="X105" s="3" t="s">
        <v>1517</v>
      </c>
      <c r="Y105" s="3" t="s">
        <v>1518</v>
      </c>
      <c r="Z105" s="3" t="s">
        <v>69</v>
      </c>
      <c r="AA105" s="3" t="s">
        <v>1519</v>
      </c>
      <c r="AB105" s="3" t="s">
        <v>69</v>
      </c>
      <c r="AC105" s="6" t="s">
        <v>1520</v>
      </c>
      <c r="AD105" s="3" t="s">
        <v>497</v>
      </c>
      <c r="AE105" s="6" t="s">
        <v>69</v>
      </c>
      <c r="AF105" s="6" t="s">
        <v>69</v>
      </c>
      <c r="AG105" s="3" t="s">
        <v>69</v>
      </c>
      <c r="AH105" s="3" t="s">
        <v>78</v>
      </c>
      <c r="AI105" s="3" t="s">
        <v>132</v>
      </c>
      <c r="AJ105" s="3" t="s">
        <v>69</v>
      </c>
      <c r="AK105" s="3" t="s">
        <v>69</v>
      </c>
      <c r="AL105" s="3" t="s">
        <v>1521</v>
      </c>
      <c r="AM105" s="3" t="s">
        <v>69</v>
      </c>
      <c r="AN105" s="3" t="s">
        <v>69</v>
      </c>
      <c r="AO105" s="3" t="s">
        <v>69</v>
      </c>
      <c r="AP105" s="3" t="s">
        <v>1515</v>
      </c>
      <c r="AQ105" s="3" t="s">
        <v>1522</v>
      </c>
      <c r="AR105" s="3" t="s">
        <v>85</v>
      </c>
      <c r="AS105" s="3" t="s">
        <v>211</v>
      </c>
      <c r="AT105" s="3" t="s">
        <v>299</v>
      </c>
      <c r="AU105" s="3" t="s">
        <v>300</v>
      </c>
      <c r="AV105" s="3" t="s">
        <v>69</v>
      </c>
      <c r="AW105" s="3" t="s">
        <v>1523</v>
      </c>
      <c r="AX105" s="3" t="s">
        <v>69</v>
      </c>
      <c r="AY105" s="3" t="s">
        <v>90</v>
      </c>
      <c r="AZ105" s="8" t="s">
        <v>69</v>
      </c>
      <c r="BA105" s="3" t="s">
        <v>69</v>
      </c>
      <c r="BB105" s="3" t="s">
        <v>92</v>
      </c>
      <c r="BC105" s="3" t="s">
        <v>93</v>
      </c>
      <c r="BD105" s="12" t="str">
        <f>HYPERLINK("http://chatelain.ch","chatelain.ch")</f>
        <v>chatelain.ch</v>
      </c>
      <c r="BE105" s="12" t="str">
        <f>HYPERLINK("http://www.linkedin.com/company/chatelain","http://www.linkedin.com/company/chatelain")</f>
        <v>http://www.linkedin.com/company/chatelain</v>
      </c>
      <c r="BF105" s="9">
        <v>245</v>
      </c>
      <c r="BG105" s="3" t="s">
        <v>1524</v>
      </c>
      <c r="BH105" s="3" t="s">
        <v>69</v>
      </c>
      <c r="BI105" s="3" t="s">
        <v>69</v>
      </c>
      <c r="BJ105" s="10">
        <v>1947</v>
      </c>
      <c r="BK105" s="3" t="s">
        <v>69</v>
      </c>
      <c r="BL105" s="1">
        <v>45315</v>
      </c>
      <c r="BM105" s="3" t="s">
        <v>69</v>
      </c>
      <c r="BN105" s="3" t="s">
        <v>69</v>
      </c>
      <c r="BO105" s="12" t="str">
        <f>HYPERLINK("https://my.pitchbook.com?c=557234-29","View Company Online")</f>
        <v>View Company Online</v>
      </c>
    </row>
    <row r="106" spans="1:67" x14ac:dyDescent="0.3">
      <c r="A106" s="13" t="s">
        <v>1525</v>
      </c>
      <c r="B106" s="13" t="s">
        <v>1526</v>
      </c>
      <c r="C106" s="13" t="s">
        <v>69</v>
      </c>
      <c r="D106" s="21" t="s">
        <v>69</v>
      </c>
      <c r="E106" s="13" t="s">
        <v>69</v>
      </c>
      <c r="F106" s="13" t="s">
        <v>69</v>
      </c>
      <c r="G106" s="13" t="s">
        <v>69</v>
      </c>
      <c r="H106" s="13" t="s">
        <v>69</v>
      </c>
      <c r="I106" s="19" t="s">
        <v>69</v>
      </c>
      <c r="J106" s="20" t="s">
        <v>69</v>
      </c>
      <c r="K106" s="19" t="s">
        <v>69</v>
      </c>
      <c r="L106" s="19" t="s">
        <v>69</v>
      </c>
      <c r="M106" s="19" t="s">
        <v>69</v>
      </c>
      <c r="N106" s="19" t="s">
        <v>69</v>
      </c>
      <c r="O106" s="19" t="s">
        <v>69</v>
      </c>
      <c r="P106" s="19" t="s">
        <v>69</v>
      </c>
      <c r="Q106" s="19" t="s">
        <v>69</v>
      </c>
      <c r="R106" s="18" t="s">
        <v>69</v>
      </c>
      <c r="S106" s="13" t="s">
        <v>1527</v>
      </c>
      <c r="T106" s="13" t="s">
        <v>1528</v>
      </c>
      <c r="U106" s="13" t="s">
        <v>1529</v>
      </c>
      <c r="V106" s="13" t="s">
        <v>69</v>
      </c>
      <c r="W106" s="13" t="s">
        <v>69</v>
      </c>
      <c r="X106" s="13" t="s">
        <v>1530</v>
      </c>
      <c r="Y106" s="13" t="s">
        <v>1531</v>
      </c>
      <c r="Z106" s="13" t="s">
        <v>69</v>
      </c>
      <c r="AA106" s="13" t="s">
        <v>1532</v>
      </c>
      <c r="AB106" s="13" t="s">
        <v>69</v>
      </c>
      <c r="AC106" s="18" t="s">
        <v>1533</v>
      </c>
      <c r="AD106" s="13" t="s">
        <v>232</v>
      </c>
      <c r="AE106" s="18" t="s">
        <v>69</v>
      </c>
      <c r="AF106" s="18" t="s">
        <v>69</v>
      </c>
      <c r="AG106" s="13" t="s">
        <v>69</v>
      </c>
      <c r="AH106" s="13" t="s">
        <v>78</v>
      </c>
      <c r="AI106" s="13" t="s">
        <v>132</v>
      </c>
      <c r="AJ106" s="13" t="s">
        <v>69</v>
      </c>
      <c r="AK106" s="13" t="s">
        <v>69</v>
      </c>
      <c r="AL106" s="13" t="s">
        <v>1534</v>
      </c>
      <c r="AM106" s="13" t="s">
        <v>1535</v>
      </c>
      <c r="AN106" s="13" t="s">
        <v>235</v>
      </c>
      <c r="AO106" s="13" t="s">
        <v>69</v>
      </c>
      <c r="AP106" s="13" t="s">
        <v>1525</v>
      </c>
      <c r="AQ106" s="13" t="s">
        <v>1536</v>
      </c>
      <c r="AR106" s="13" t="s">
        <v>85</v>
      </c>
      <c r="AS106" s="13" t="s">
        <v>271</v>
      </c>
      <c r="AT106" s="13" t="s">
        <v>272</v>
      </c>
      <c r="AU106" s="13" t="s">
        <v>1537</v>
      </c>
      <c r="AV106" s="13" t="s">
        <v>214</v>
      </c>
      <c r="AW106" s="13" t="s">
        <v>1538</v>
      </c>
      <c r="AX106" s="13" t="s">
        <v>69</v>
      </c>
      <c r="AY106" s="13" t="s">
        <v>90</v>
      </c>
      <c r="AZ106" s="17" t="s">
        <v>69</v>
      </c>
      <c r="BA106" s="13" t="s">
        <v>91</v>
      </c>
      <c r="BB106" s="13" t="s">
        <v>92</v>
      </c>
      <c r="BC106" s="13" t="s">
        <v>93</v>
      </c>
      <c r="BD106" s="11" t="str">
        <f>HYPERLINK("http://www.gocase.com","www.gocase.com")</f>
        <v>www.gocase.com</v>
      </c>
      <c r="BE106" s="11" t="str">
        <f>HYPERLINK("http://www.linkedin.com/company/gocase-global","http://www.linkedin.com/company/gocase-global")</f>
        <v>http://www.linkedin.com/company/gocase-global</v>
      </c>
      <c r="BF106" s="16">
        <v>97</v>
      </c>
      <c r="BG106" s="13" t="s">
        <v>1539</v>
      </c>
      <c r="BH106" s="13" t="s">
        <v>69</v>
      </c>
      <c r="BI106" s="13" t="s">
        <v>69</v>
      </c>
      <c r="BJ106" s="15">
        <v>2015</v>
      </c>
      <c r="BK106" s="13" t="s">
        <v>69</v>
      </c>
      <c r="BL106" s="14">
        <v>45237</v>
      </c>
      <c r="BM106" s="13" t="s">
        <v>69</v>
      </c>
      <c r="BN106" s="13" t="s">
        <v>69</v>
      </c>
      <c r="BO106" s="11" t="str">
        <f>HYPERLINK("https://my.pitchbook.com?c=462945-70","View Company Online")</f>
        <v>View Company Online</v>
      </c>
    </row>
    <row r="107" spans="1:67" x14ac:dyDescent="0.3">
      <c r="A107" s="3" t="s">
        <v>1540</v>
      </c>
      <c r="B107" s="3" t="s">
        <v>1541</v>
      </c>
      <c r="C107" s="3" t="s">
        <v>69</v>
      </c>
      <c r="D107" s="5" t="s">
        <v>69</v>
      </c>
      <c r="E107" s="3" t="s">
        <v>69</v>
      </c>
      <c r="F107" s="3" t="s">
        <v>69</v>
      </c>
      <c r="G107" s="3" t="s">
        <v>69</v>
      </c>
      <c r="H107" s="3" t="s">
        <v>69</v>
      </c>
      <c r="I107" s="4" t="s">
        <v>69</v>
      </c>
      <c r="J107" s="7" t="s">
        <v>69</v>
      </c>
      <c r="K107" s="4" t="s">
        <v>69</v>
      </c>
      <c r="L107" s="4" t="s">
        <v>69</v>
      </c>
      <c r="M107" s="4" t="s">
        <v>69</v>
      </c>
      <c r="N107" s="4" t="s">
        <v>69</v>
      </c>
      <c r="O107" s="4" t="s">
        <v>69</v>
      </c>
      <c r="P107" s="4" t="s">
        <v>69</v>
      </c>
      <c r="Q107" s="4" t="s">
        <v>69</v>
      </c>
      <c r="R107" s="6" t="s">
        <v>69</v>
      </c>
      <c r="S107" s="3" t="s">
        <v>69</v>
      </c>
      <c r="T107" s="3" t="s">
        <v>69</v>
      </c>
      <c r="U107" s="3" t="s">
        <v>69</v>
      </c>
      <c r="V107" s="3" t="s">
        <v>69</v>
      </c>
      <c r="W107" s="3" t="s">
        <v>69</v>
      </c>
      <c r="X107" s="3" t="s">
        <v>1542</v>
      </c>
      <c r="Y107" s="3" t="s">
        <v>1543</v>
      </c>
      <c r="Z107" s="3" t="s">
        <v>69</v>
      </c>
      <c r="AA107" s="3" t="s">
        <v>1544</v>
      </c>
      <c r="AB107" s="3" t="s">
        <v>1015</v>
      </c>
      <c r="AC107" s="6" t="s">
        <v>1545</v>
      </c>
      <c r="AD107" s="3" t="s">
        <v>1017</v>
      </c>
      <c r="AE107" s="6" t="s">
        <v>69</v>
      </c>
      <c r="AF107" s="6" t="s">
        <v>69</v>
      </c>
      <c r="AG107" s="3" t="s">
        <v>69</v>
      </c>
      <c r="AH107" s="3" t="s">
        <v>1020</v>
      </c>
      <c r="AI107" s="3" t="s">
        <v>1020</v>
      </c>
      <c r="AJ107" s="3" t="s">
        <v>69</v>
      </c>
      <c r="AK107" s="3" t="s">
        <v>69</v>
      </c>
      <c r="AL107" s="3" t="s">
        <v>69</v>
      </c>
      <c r="AM107" s="3" t="s">
        <v>69</v>
      </c>
      <c r="AN107" s="3" t="s">
        <v>69</v>
      </c>
      <c r="AO107" s="3" t="s">
        <v>69</v>
      </c>
      <c r="AP107" s="3" t="s">
        <v>1540</v>
      </c>
      <c r="AQ107" s="3" t="s">
        <v>1546</v>
      </c>
      <c r="AR107" s="3" t="s">
        <v>85</v>
      </c>
      <c r="AS107" s="3" t="s">
        <v>211</v>
      </c>
      <c r="AT107" s="3" t="s">
        <v>299</v>
      </c>
      <c r="AU107" s="3" t="s">
        <v>300</v>
      </c>
      <c r="AV107" s="3" t="s">
        <v>69</v>
      </c>
      <c r="AW107" s="3" t="s">
        <v>69</v>
      </c>
      <c r="AX107" s="3" t="s">
        <v>69</v>
      </c>
      <c r="AY107" s="3" t="s">
        <v>90</v>
      </c>
      <c r="AZ107" s="8" t="s">
        <v>69</v>
      </c>
      <c r="BA107" s="3" t="s">
        <v>69</v>
      </c>
      <c r="BB107" s="3" t="s">
        <v>92</v>
      </c>
      <c r="BC107" s="3" t="s">
        <v>93</v>
      </c>
      <c r="BD107" s="12" t="str">
        <f>HYPERLINK("http://gregoryjewellers.com.au","gregoryjewellers.com.au")</f>
        <v>gregoryjewellers.com.au</v>
      </c>
      <c r="BE107" s="12" t="str">
        <f>HYPERLINK("http://www.linkedin.com/company/gregory-jewellers","http://www.linkedin.com/company/gregory-jewellers")</f>
        <v>http://www.linkedin.com/company/gregory-jewellers</v>
      </c>
      <c r="BF107" s="9">
        <v>88</v>
      </c>
      <c r="BG107" s="3" t="s">
        <v>1547</v>
      </c>
      <c r="BH107" s="3" t="s">
        <v>69</v>
      </c>
      <c r="BI107" s="3" t="s">
        <v>69</v>
      </c>
      <c r="BJ107" s="10">
        <v>1967</v>
      </c>
      <c r="BK107" s="3" t="s">
        <v>69</v>
      </c>
      <c r="BL107" s="1">
        <v>45317</v>
      </c>
      <c r="BM107" s="3" t="s">
        <v>69</v>
      </c>
      <c r="BN107" s="3" t="s">
        <v>69</v>
      </c>
      <c r="BO107" s="12" t="str">
        <f>HYPERLINK("https://my.pitchbook.com?c=562949-92","View Company Online")</f>
        <v>View Company Online</v>
      </c>
    </row>
    <row r="108" spans="1:67" x14ac:dyDescent="0.3">
      <c r="A108" s="13" t="s">
        <v>1548</v>
      </c>
      <c r="B108" s="13" t="s">
        <v>1549</v>
      </c>
      <c r="C108" s="13" t="s">
        <v>69</v>
      </c>
      <c r="D108" s="21" t="s">
        <v>69</v>
      </c>
      <c r="E108" s="13" t="s">
        <v>69</v>
      </c>
      <c r="F108" s="13" t="s">
        <v>69</v>
      </c>
      <c r="G108" s="13" t="s">
        <v>69</v>
      </c>
      <c r="H108" s="13" t="s">
        <v>69</v>
      </c>
      <c r="I108" s="19" t="s">
        <v>69</v>
      </c>
      <c r="J108" s="20" t="s">
        <v>69</v>
      </c>
      <c r="K108" s="19" t="s">
        <v>69</v>
      </c>
      <c r="L108" s="19" t="s">
        <v>69</v>
      </c>
      <c r="M108" s="19" t="s">
        <v>69</v>
      </c>
      <c r="N108" s="19" t="s">
        <v>69</v>
      </c>
      <c r="O108" s="19" t="s">
        <v>69</v>
      </c>
      <c r="P108" s="19" t="s">
        <v>69</v>
      </c>
      <c r="Q108" s="19" t="s">
        <v>69</v>
      </c>
      <c r="R108" s="18" t="s">
        <v>69</v>
      </c>
      <c r="S108" s="13" t="s">
        <v>69</v>
      </c>
      <c r="T108" s="13" t="s">
        <v>69</v>
      </c>
      <c r="U108" s="13" t="s">
        <v>69</v>
      </c>
      <c r="V108" s="13" t="s">
        <v>69</v>
      </c>
      <c r="W108" s="13" t="s">
        <v>69</v>
      </c>
      <c r="X108" s="13" t="s">
        <v>1550</v>
      </c>
      <c r="Y108" s="13" t="s">
        <v>1549</v>
      </c>
      <c r="Z108" s="13" t="s">
        <v>69</v>
      </c>
      <c r="AA108" s="13" t="s">
        <v>1551</v>
      </c>
      <c r="AB108" s="13" t="s">
        <v>1552</v>
      </c>
      <c r="AC108" s="18" t="s">
        <v>1553</v>
      </c>
      <c r="AD108" s="13" t="s">
        <v>1554</v>
      </c>
      <c r="AE108" s="18" t="s">
        <v>69</v>
      </c>
      <c r="AF108" s="18" t="s">
        <v>69</v>
      </c>
      <c r="AG108" s="13" t="s">
        <v>69</v>
      </c>
      <c r="AH108" s="13" t="s">
        <v>1555</v>
      </c>
      <c r="AI108" s="13" t="s">
        <v>1556</v>
      </c>
      <c r="AJ108" s="13" t="s">
        <v>69</v>
      </c>
      <c r="AK108" s="13" t="s">
        <v>69</v>
      </c>
      <c r="AL108" s="13" t="s">
        <v>69</v>
      </c>
      <c r="AM108" s="13" t="s">
        <v>69</v>
      </c>
      <c r="AN108" s="13" t="s">
        <v>69</v>
      </c>
      <c r="AO108" s="13" t="s">
        <v>69</v>
      </c>
      <c r="AP108" s="13" t="s">
        <v>1548</v>
      </c>
      <c r="AQ108" s="13" t="s">
        <v>1557</v>
      </c>
      <c r="AR108" s="13" t="s">
        <v>85</v>
      </c>
      <c r="AS108" s="13" t="s">
        <v>711</v>
      </c>
      <c r="AT108" s="13" t="s">
        <v>712</v>
      </c>
      <c r="AU108" s="13" t="s">
        <v>1558</v>
      </c>
      <c r="AV108" s="13" t="s">
        <v>69</v>
      </c>
      <c r="AW108" s="13" t="s">
        <v>1559</v>
      </c>
      <c r="AX108" s="13" t="s">
        <v>69</v>
      </c>
      <c r="AY108" s="13" t="s">
        <v>90</v>
      </c>
      <c r="AZ108" s="17" t="s">
        <v>69</v>
      </c>
      <c r="BA108" s="13" t="s">
        <v>69</v>
      </c>
      <c r="BB108" s="13" t="s">
        <v>92</v>
      </c>
      <c r="BC108" s="13" t="s">
        <v>93</v>
      </c>
      <c r="BD108" s="11" t="str">
        <f>HYPERLINK("http://grootbos.com","grootbos.com")</f>
        <v>grootbos.com</v>
      </c>
      <c r="BE108" s="11" t="str">
        <f>HYPERLINK("http://www.linkedin.com/company/grootbos-private-nature-reserve","http://www.linkedin.com/company/grootbos-private-nature-reserve")</f>
        <v>http://www.linkedin.com/company/grootbos-private-nature-reserve</v>
      </c>
      <c r="BF108" s="16">
        <v>83</v>
      </c>
      <c r="BG108" s="13" t="s">
        <v>1560</v>
      </c>
      <c r="BH108" s="13" t="s">
        <v>69</v>
      </c>
      <c r="BI108" s="13" t="s">
        <v>69</v>
      </c>
      <c r="BJ108" s="15">
        <v>1995</v>
      </c>
      <c r="BK108" s="13" t="s">
        <v>69</v>
      </c>
      <c r="BL108" s="14">
        <v>45626</v>
      </c>
      <c r="BM108" s="13" t="s">
        <v>69</v>
      </c>
      <c r="BN108" s="13" t="s">
        <v>69</v>
      </c>
      <c r="BO108" s="11" t="str">
        <f>HYPERLINK("https://my.pitchbook.com?c=716660-47","View Company Online")</f>
        <v>View Company Online</v>
      </c>
    </row>
    <row r="109" spans="1:67" x14ac:dyDescent="0.3">
      <c r="A109" s="3" t="s">
        <v>1561</v>
      </c>
      <c r="B109" s="3" t="s">
        <v>1562</v>
      </c>
      <c r="C109" s="3" t="s">
        <v>69</v>
      </c>
      <c r="D109" s="5" t="s">
        <v>69</v>
      </c>
      <c r="E109" s="3" t="s">
        <v>69</v>
      </c>
      <c r="F109" s="3" t="s">
        <v>69</v>
      </c>
      <c r="G109" s="3" t="s">
        <v>69</v>
      </c>
      <c r="H109" s="3" t="s">
        <v>69</v>
      </c>
      <c r="I109" s="4" t="s">
        <v>69</v>
      </c>
      <c r="J109" s="7" t="s">
        <v>69</v>
      </c>
      <c r="K109" s="4" t="s">
        <v>69</v>
      </c>
      <c r="L109" s="4" t="s">
        <v>69</v>
      </c>
      <c r="M109" s="4" t="s">
        <v>69</v>
      </c>
      <c r="N109" s="4" t="s">
        <v>69</v>
      </c>
      <c r="O109" s="4" t="s">
        <v>69</v>
      </c>
      <c r="P109" s="4" t="s">
        <v>69</v>
      </c>
      <c r="Q109" s="4" t="s">
        <v>69</v>
      </c>
      <c r="R109" s="6" t="s">
        <v>69</v>
      </c>
      <c r="S109" s="3" t="s">
        <v>1563</v>
      </c>
      <c r="T109" s="3" t="s">
        <v>1564</v>
      </c>
      <c r="U109" s="3" t="s">
        <v>1565</v>
      </c>
      <c r="V109" s="3" t="s">
        <v>1566</v>
      </c>
      <c r="W109" s="3" t="s">
        <v>1567</v>
      </c>
      <c r="X109" s="3" t="s">
        <v>1568</v>
      </c>
      <c r="Y109" s="3" t="s">
        <v>1569</v>
      </c>
      <c r="Z109" s="3" t="s">
        <v>1570</v>
      </c>
      <c r="AA109" s="3" t="s">
        <v>1571</v>
      </c>
      <c r="AB109" s="3" t="s">
        <v>1572</v>
      </c>
      <c r="AC109" s="6" t="s">
        <v>1573</v>
      </c>
      <c r="AD109" s="3" t="s">
        <v>378</v>
      </c>
      <c r="AE109" s="6" t="s">
        <v>69</v>
      </c>
      <c r="AF109" s="6" t="s">
        <v>69</v>
      </c>
      <c r="AG109" s="3" t="s">
        <v>69</v>
      </c>
      <c r="AH109" s="3" t="s">
        <v>379</v>
      </c>
      <c r="AI109" s="3" t="s">
        <v>380</v>
      </c>
      <c r="AJ109" s="3" t="s">
        <v>69</v>
      </c>
      <c r="AK109" s="3" t="s">
        <v>69</v>
      </c>
      <c r="AL109" s="3" t="s">
        <v>1574</v>
      </c>
      <c r="AM109" s="3" t="s">
        <v>69</v>
      </c>
      <c r="AN109" s="3" t="s">
        <v>69</v>
      </c>
      <c r="AO109" s="3" t="s">
        <v>69</v>
      </c>
      <c r="AP109" s="3" t="s">
        <v>1561</v>
      </c>
      <c r="AQ109" s="3" t="s">
        <v>1575</v>
      </c>
      <c r="AR109" s="3" t="s">
        <v>85</v>
      </c>
      <c r="AS109" s="3" t="s">
        <v>211</v>
      </c>
      <c r="AT109" s="3" t="s">
        <v>212</v>
      </c>
      <c r="AU109" s="3" t="s">
        <v>1576</v>
      </c>
      <c r="AV109" s="3" t="s">
        <v>1577</v>
      </c>
      <c r="AW109" s="3" t="s">
        <v>1578</v>
      </c>
      <c r="AX109" s="3" t="s">
        <v>69</v>
      </c>
      <c r="AY109" s="3" t="s">
        <v>90</v>
      </c>
      <c r="AZ109" s="8" t="s">
        <v>69</v>
      </c>
      <c r="BA109" s="3" t="s">
        <v>91</v>
      </c>
      <c r="BB109" s="3" t="s">
        <v>92</v>
      </c>
      <c r="BC109" s="3" t="s">
        <v>93</v>
      </c>
      <c r="BD109" s="12" t="str">
        <f>HYPERLINK("http://www.groovelife.com","www.groovelife.com")</f>
        <v>www.groovelife.com</v>
      </c>
      <c r="BE109" s="12" t="str">
        <f>HYPERLINK("http://www.linkedin.com/company/groove-life","http://www.linkedin.com/company/groove-life")</f>
        <v>http://www.linkedin.com/company/groove-life</v>
      </c>
      <c r="BF109" s="9">
        <v>170</v>
      </c>
      <c r="BG109" s="3" t="s">
        <v>1579</v>
      </c>
      <c r="BH109" s="3" t="s">
        <v>69</v>
      </c>
      <c r="BI109" s="3" t="s">
        <v>69</v>
      </c>
      <c r="BJ109" s="10">
        <v>2015</v>
      </c>
      <c r="BK109" s="3" t="s">
        <v>69</v>
      </c>
      <c r="BL109" s="1">
        <v>45688</v>
      </c>
      <c r="BM109" s="3" t="s">
        <v>69</v>
      </c>
      <c r="BN109" s="3" t="s">
        <v>69</v>
      </c>
      <c r="BO109" s="12" t="str">
        <f>HYPERLINK("https://my.pitchbook.com?c=437353-93","View Company Online")</f>
        <v>View Company Online</v>
      </c>
    </row>
    <row r="110" spans="1:67" x14ac:dyDescent="0.3">
      <c r="A110" s="13" t="s">
        <v>1580</v>
      </c>
      <c r="B110" s="13" t="s">
        <v>1581</v>
      </c>
      <c r="C110" s="13" t="s">
        <v>69</v>
      </c>
      <c r="D110" s="21" t="s">
        <v>69</v>
      </c>
      <c r="E110" s="13" t="s">
        <v>69</v>
      </c>
      <c r="F110" s="13" t="s">
        <v>69</v>
      </c>
      <c r="G110" s="13" t="s">
        <v>69</v>
      </c>
      <c r="H110" s="13" t="s">
        <v>69</v>
      </c>
      <c r="I110" s="19" t="s">
        <v>69</v>
      </c>
      <c r="J110" s="20" t="s">
        <v>69</v>
      </c>
      <c r="K110" s="19" t="s">
        <v>69</v>
      </c>
      <c r="L110" s="19" t="s">
        <v>69</v>
      </c>
      <c r="M110" s="19" t="s">
        <v>69</v>
      </c>
      <c r="N110" s="19" t="s">
        <v>69</v>
      </c>
      <c r="O110" s="19" t="s">
        <v>69</v>
      </c>
      <c r="P110" s="19" t="s">
        <v>69</v>
      </c>
      <c r="Q110" s="19" t="s">
        <v>69</v>
      </c>
      <c r="R110" s="18" t="s">
        <v>69</v>
      </c>
      <c r="S110" s="13" t="s">
        <v>69</v>
      </c>
      <c r="T110" s="13" t="s">
        <v>69</v>
      </c>
      <c r="U110" s="13" t="s">
        <v>69</v>
      </c>
      <c r="V110" s="13" t="s">
        <v>69</v>
      </c>
      <c r="W110" s="13" t="s">
        <v>69</v>
      </c>
      <c r="X110" s="13" t="s">
        <v>1582</v>
      </c>
      <c r="Y110" s="13" t="s">
        <v>69</v>
      </c>
      <c r="Z110" s="13" t="s">
        <v>69</v>
      </c>
      <c r="AA110" s="13" t="s">
        <v>1583</v>
      </c>
      <c r="AB110" s="13" t="s">
        <v>1584</v>
      </c>
      <c r="AC110" s="18" t="s">
        <v>69</v>
      </c>
      <c r="AD110" s="13" t="s">
        <v>1271</v>
      </c>
      <c r="AE110" s="18" t="s">
        <v>69</v>
      </c>
      <c r="AF110" s="18" t="s">
        <v>69</v>
      </c>
      <c r="AG110" s="13" t="s">
        <v>69</v>
      </c>
      <c r="AH110" s="13" t="s">
        <v>379</v>
      </c>
      <c r="AI110" s="13" t="s">
        <v>921</v>
      </c>
      <c r="AJ110" s="13" t="s">
        <v>69</v>
      </c>
      <c r="AK110" s="13" t="s">
        <v>69</v>
      </c>
      <c r="AL110" s="13" t="s">
        <v>69</v>
      </c>
      <c r="AM110" s="13" t="s">
        <v>69</v>
      </c>
      <c r="AN110" s="13" t="s">
        <v>69</v>
      </c>
      <c r="AO110" s="13" t="s">
        <v>69</v>
      </c>
      <c r="AP110" s="13" t="s">
        <v>1580</v>
      </c>
      <c r="AQ110" s="13" t="s">
        <v>1585</v>
      </c>
      <c r="AR110" s="13" t="s">
        <v>85</v>
      </c>
      <c r="AS110" s="13" t="s">
        <v>211</v>
      </c>
      <c r="AT110" s="13" t="s">
        <v>299</v>
      </c>
      <c r="AU110" s="13" t="s">
        <v>300</v>
      </c>
      <c r="AV110" s="13" t="s">
        <v>69</v>
      </c>
      <c r="AW110" s="13" t="s">
        <v>69</v>
      </c>
      <c r="AX110" s="13" t="s">
        <v>69</v>
      </c>
      <c r="AY110" s="13" t="s">
        <v>90</v>
      </c>
      <c r="AZ110" s="17" t="s">
        <v>69</v>
      </c>
      <c r="BA110" s="13" t="s">
        <v>69</v>
      </c>
      <c r="BB110" s="13" t="s">
        <v>92</v>
      </c>
      <c r="BC110" s="13" t="s">
        <v>93</v>
      </c>
      <c r="BD110" s="11" t="str">
        <f>HYPERLINK("http://bergersonjoias.com","bergersonjoias.com")</f>
        <v>bergersonjoias.com</v>
      </c>
      <c r="BE110" s="11" t="str">
        <f>HYPERLINK("http://www.linkedin.com/company/grupobergerson","http://www.linkedin.com/company/grupobergerson")</f>
        <v>http://www.linkedin.com/company/grupobergerson</v>
      </c>
      <c r="BF110" s="16">
        <v>236</v>
      </c>
      <c r="BG110" s="13" t="s">
        <v>1586</v>
      </c>
      <c r="BH110" s="13" t="s">
        <v>69</v>
      </c>
      <c r="BI110" s="13" t="s">
        <v>69</v>
      </c>
      <c r="BJ110" s="15">
        <v>1964</v>
      </c>
      <c r="BK110" s="13" t="s">
        <v>69</v>
      </c>
      <c r="BL110" s="14">
        <v>45314</v>
      </c>
      <c r="BM110" s="13" t="s">
        <v>69</v>
      </c>
      <c r="BN110" s="13" t="s">
        <v>69</v>
      </c>
      <c r="BO110" s="11" t="str">
        <f>HYPERLINK("https://my.pitchbook.com?c=555834-70","View Company Online")</f>
        <v>View Company Online</v>
      </c>
    </row>
    <row r="111" spans="1:67" x14ac:dyDescent="0.3">
      <c r="A111" s="3" t="s">
        <v>1587</v>
      </c>
      <c r="B111" s="3" t="s">
        <v>1588</v>
      </c>
      <c r="C111" s="3" t="s">
        <v>69</v>
      </c>
      <c r="D111" s="5" t="s">
        <v>69</v>
      </c>
      <c r="E111" s="3" t="s">
        <v>69</v>
      </c>
      <c r="F111" s="3" t="s">
        <v>69</v>
      </c>
      <c r="G111" s="3" t="s">
        <v>69</v>
      </c>
      <c r="H111" s="3" t="s">
        <v>69</v>
      </c>
      <c r="I111" s="4" t="s">
        <v>69</v>
      </c>
      <c r="J111" s="7" t="s">
        <v>69</v>
      </c>
      <c r="K111" s="4" t="s">
        <v>69</v>
      </c>
      <c r="L111" s="4" t="s">
        <v>69</v>
      </c>
      <c r="M111" s="4" t="s">
        <v>69</v>
      </c>
      <c r="N111" s="4" t="s">
        <v>69</v>
      </c>
      <c r="O111" s="4" t="s">
        <v>69</v>
      </c>
      <c r="P111" s="4" t="s">
        <v>69</v>
      </c>
      <c r="Q111" s="4" t="s">
        <v>69</v>
      </c>
      <c r="R111" s="6" t="s">
        <v>69</v>
      </c>
      <c r="S111" s="3" t="s">
        <v>69</v>
      </c>
      <c r="T111" s="3" t="s">
        <v>69</v>
      </c>
      <c r="U111" s="3" t="s">
        <v>69</v>
      </c>
      <c r="V111" s="3" t="s">
        <v>69</v>
      </c>
      <c r="W111" s="3" t="s">
        <v>69</v>
      </c>
      <c r="X111" s="3" t="s">
        <v>790</v>
      </c>
      <c r="Y111" s="3" t="s">
        <v>69</v>
      </c>
      <c r="Z111" s="3" t="s">
        <v>69</v>
      </c>
      <c r="AA111" s="3" t="s">
        <v>792</v>
      </c>
      <c r="AB111" s="3" t="s">
        <v>792</v>
      </c>
      <c r="AC111" s="6" t="s">
        <v>1589</v>
      </c>
      <c r="AD111" s="3" t="s">
        <v>204</v>
      </c>
      <c r="AE111" s="6" t="s">
        <v>1590</v>
      </c>
      <c r="AF111" s="6" t="s">
        <v>69</v>
      </c>
      <c r="AG111" s="3" t="s">
        <v>1591</v>
      </c>
      <c r="AH111" s="3" t="s">
        <v>78</v>
      </c>
      <c r="AI111" s="3" t="s">
        <v>79</v>
      </c>
      <c r="AJ111" s="3" t="s">
        <v>69</v>
      </c>
      <c r="AK111" s="3" t="s">
        <v>69</v>
      </c>
      <c r="AL111" s="3" t="s">
        <v>69</v>
      </c>
      <c r="AM111" s="3" t="s">
        <v>69</v>
      </c>
      <c r="AN111" s="3" t="s">
        <v>69</v>
      </c>
      <c r="AO111" s="3" t="s">
        <v>69</v>
      </c>
      <c r="AP111" s="3" t="s">
        <v>1587</v>
      </c>
      <c r="AQ111" s="3" t="s">
        <v>1592</v>
      </c>
      <c r="AR111" s="3" t="s">
        <v>185</v>
      </c>
      <c r="AS111" s="3" t="s">
        <v>186</v>
      </c>
      <c r="AT111" s="3" t="s">
        <v>187</v>
      </c>
      <c r="AU111" s="3" t="s">
        <v>188</v>
      </c>
      <c r="AV111" s="3" t="s">
        <v>69</v>
      </c>
      <c r="AW111" s="3" t="s">
        <v>69</v>
      </c>
      <c r="AX111" s="3" t="s">
        <v>69</v>
      </c>
      <c r="AY111" s="3" t="s">
        <v>90</v>
      </c>
      <c r="AZ111" s="8" t="s">
        <v>69</v>
      </c>
      <c r="BA111" s="3" t="s">
        <v>69</v>
      </c>
      <c r="BB111" s="3" t="s">
        <v>92</v>
      </c>
      <c r="BC111" s="3" t="s">
        <v>93</v>
      </c>
      <c r="BD111" s="12" t="str">
        <f>HYPERLINK("http://grupocadarso.com","grupocadarso.com")</f>
        <v>grupocadarso.com</v>
      </c>
      <c r="BE111" s="12" t="str">
        <f>HYPERLINK("http://www.linkedin.com/company/grupo-cadarso","http://www.linkedin.com/company/grupo-cadarso")</f>
        <v>http://www.linkedin.com/company/grupo-cadarso</v>
      </c>
      <c r="BF111" s="9">
        <v>215</v>
      </c>
      <c r="BG111" s="3" t="s">
        <v>1593</v>
      </c>
      <c r="BH111" s="3" t="s">
        <v>69</v>
      </c>
      <c r="BI111" s="3" t="s">
        <v>69</v>
      </c>
      <c r="BJ111" s="10" t="s">
        <v>69</v>
      </c>
      <c r="BK111" s="3" t="s">
        <v>69</v>
      </c>
      <c r="BL111" s="1">
        <v>45317</v>
      </c>
      <c r="BM111" s="3" t="s">
        <v>69</v>
      </c>
      <c r="BN111" s="3" t="s">
        <v>69</v>
      </c>
      <c r="BO111" s="12" t="str">
        <f>HYPERLINK("https://my.pitchbook.com?c=562730-86","View Company Online")</f>
        <v>View Company Online</v>
      </c>
    </row>
    <row r="112" spans="1:67" x14ac:dyDescent="0.3">
      <c r="A112" s="13" t="s">
        <v>1594</v>
      </c>
      <c r="B112" s="13" t="s">
        <v>1595</v>
      </c>
      <c r="C112" s="13" t="s">
        <v>69</v>
      </c>
      <c r="D112" s="21" t="s">
        <v>69</v>
      </c>
      <c r="E112" s="13" t="s">
        <v>69</v>
      </c>
      <c r="F112" s="13" t="s">
        <v>69</v>
      </c>
      <c r="G112" s="13" t="s">
        <v>69</v>
      </c>
      <c r="H112" s="13" t="s">
        <v>69</v>
      </c>
      <c r="I112" s="19" t="s">
        <v>69</v>
      </c>
      <c r="J112" s="20" t="s">
        <v>69</v>
      </c>
      <c r="K112" s="19" t="s">
        <v>69</v>
      </c>
      <c r="L112" s="19" t="s">
        <v>69</v>
      </c>
      <c r="M112" s="19" t="s">
        <v>69</v>
      </c>
      <c r="N112" s="19" t="s">
        <v>69</v>
      </c>
      <c r="O112" s="19" t="s">
        <v>69</v>
      </c>
      <c r="P112" s="19" t="s">
        <v>69</v>
      </c>
      <c r="Q112" s="19" t="s">
        <v>69</v>
      </c>
      <c r="R112" s="18" t="s">
        <v>69</v>
      </c>
      <c r="S112" s="13" t="s">
        <v>69</v>
      </c>
      <c r="T112" s="13" t="s">
        <v>69</v>
      </c>
      <c r="U112" s="13" t="s">
        <v>69</v>
      </c>
      <c r="V112" s="13" t="s">
        <v>69</v>
      </c>
      <c r="W112" s="13" t="s">
        <v>69</v>
      </c>
      <c r="X112" s="13" t="s">
        <v>1596</v>
      </c>
      <c r="Y112" s="13" t="s">
        <v>1597</v>
      </c>
      <c r="Z112" s="13" t="s">
        <v>69</v>
      </c>
      <c r="AA112" s="13" t="s">
        <v>1598</v>
      </c>
      <c r="AB112" s="13" t="s">
        <v>1599</v>
      </c>
      <c r="AC112" s="18" t="s">
        <v>1600</v>
      </c>
      <c r="AD112" s="13" t="s">
        <v>378</v>
      </c>
      <c r="AE112" s="18" t="s">
        <v>69</v>
      </c>
      <c r="AF112" s="18" t="s">
        <v>69</v>
      </c>
      <c r="AG112" s="13" t="s">
        <v>69</v>
      </c>
      <c r="AH112" s="13" t="s">
        <v>379</v>
      </c>
      <c r="AI112" s="13" t="s">
        <v>380</v>
      </c>
      <c r="AJ112" s="13" t="s">
        <v>69</v>
      </c>
      <c r="AK112" s="13" t="s">
        <v>69</v>
      </c>
      <c r="AL112" s="13" t="s">
        <v>69</v>
      </c>
      <c r="AM112" s="13" t="s">
        <v>69</v>
      </c>
      <c r="AN112" s="13" t="s">
        <v>69</v>
      </c>
      <c r="AO112" s="13" t="s">
        <v>69</v>
      </c>
      <c r="AP112" s="13" t="s">
        <v>1594</v>
      </c>
      <c r="AQ112" s="13" t="s">
        <v>1601</v>
      </c>
      <c r="AR112" s="13" t="s">
        <v>85</v>
      </c>
      <c r="AS112" s="13" t="s">
        <v>211</v>
      </c>
      <c r="AT112" s="13" t="s">
        <v>299</v>
      </c>
      <c r="AU112" s="13" t="s">
        <v>300</v>
      </c>
      <c r="AV112" s="13" t="s">
        <v>69</v>
      </c>
      <c r="AW112" s="13" t="s">
        <v>1602</v>
      </c>
      <c r="AX112" s="13" t="s">
        <v>69</v>
      </c>
      <c r="AY112" s="13" t="s">
        <v>90</v>
      </c>
      <c r="AZ112" s="17" t="s">
        <v>69</v>
      </c>
      <c r="BA112" s="13" t="s">
        <v>69</v>
      </c>
      <c r="BB112" s="13" t="s">
        <v>92</v>
      </c>
      <c r="BC112" s="13" t="s">
        <v>93</v>
      </c>
      <c r="BD112" s="11" t="str">
        <f>HYPERLINK("http://hamiltonjewelers.com","hamiltonjewelers.com")</f>
        <v>hamiltonjewelers.com</v>
      </c>
      <c r="BE112" s="11" t="str">
        <f>HYPERLINK("http://www.linkedin.com/company/hamilton-jewelers","http://www.linkedin.com/company/hamilton-jewelers")</f>
        <v>http://www.linkedin.com/company/hamilton-jewelers</v>
      </c>
      <c r="BF112" s="16">
        <v>104</v>
      </c>
      <c r="BG112" s="13" t="s">
        <v>1603</v>
      </c>
      <c r="BH112" s="13" t="s">
        <v>69</v>
      </c>
      <c r="BI112" s="13" t="s">
        <v>69</v>
      </c>
      <c r="BJ112" s="15">
        <v>1912</v>
      </c>
      <c r="BK112" s="13" t="s">
        <v>69</v>
      </c>
      <c r="BL112" s="14">
        <v>45317</v>
      </c>
      <c r="BM112" s="13" t="s">
        <v>69</v>
      </c>
      <c r="BN112" s="13" t="s">
        <v>69</v>
      </c>
      <c r="BO112" s="11" t="str">
        <f>HYPERLINK("https://my.pitchbook.com?c=562172-50","View Company Online")</f>
        <v>View Company Online</v>
      </c>
    </row>
    <row r="113" spans="1:67" x14ac:dyDescent="0.3">
      <c r="A113" s="3" t="s">
        <v>1604</v>
      </c>
      <c r="B113" s="3" t="s">
        <v>1605</v>
      </c>
      <c r="C113" s="3" t="s">
        <v>69</v>
      </c>
      <c r="D113" s="5" t="s">
        <v>69</v>
      </c>
      <c r="E113" s="3" t="s">
        <v>69</v>
      </c>
      <c r="F113" s="3" t="s">
        <v>69</v>
      </c>
      <c r="G113" s="3" t="s">
        <v>69</v>
      </c>
      <c r="H113" s="3" t="s">
        <v>69</v>
      </c>
      <c r="I113" s="4" t="s">
        <v>69</v>
      </c>
      <c r="J113" s="7" t="s">
        <v>69</v>
      </c>
      <c r="K113" s="4" t="s">
        <v>69</v>
      </c>
      <c r="L113" s="4" t="s">
        <v>69</v>
      </c>
      <c r="M113" s="4" t="s">
        <v>69</v>
      </c>
      <c r="N113" s="4" t="s">
        <v>69</v>
      </c>
      <c r="O113" s="4" t="s">
        <v>69</v>
      </c>
      <c r="P113" s="4" t="s">
        <v>69</v>
      </c>
      <c r="Q113" s="4" t="s">
        <v>69</v>
      </c>
      <c r="R113" s="6" t="s">
        <v>1606</v>
      </c>
      <c r="S113" s="3" t="s">
        <v>1607</v>
      </c>
      <c r="T113" s="3" t="s">
        <v>1608</v>
      </c>
      <c r="U113" s="3" t="s">
        <v>1609</v>
      </c>
      <c r="V113" s="3" t="s">
        <v>69</v>
      </c>
      <c r="W113" s="3" t="s">
        <v>1610</v>
      </c>
      <c r="X113" s="3" t="s">
        <v>1611</v>
      </c>
      <c r="Y113" s="3" t="s">
        <v>1612</v>
      </c>
      <c r="Z113" s="3" t="s">
        <v>69</v>
      </c>
      <c r="AA113" s="3" t="s">
        <v>1613</v>
      </c>
      <c r="AB113" s="3" t="s">
        <v>994</v>
      </c>
      <c r="AC113" s="6" t="s">
        <v>1614</v>
      </c>
      <c r="AD113" s="3" t="s">
        <v>378</v>
      </c>
      <c r="AE113" s="6" t="s">
        <v>1615</v>
      </c>
      <c r="AF113" s="6" t="s">
        <v>69</v>
      </c>
      <c r="AG113" s="3" t="s">
        <v>69</v>
      </c>
      <c r="AH113" s="3" t="s">
        <v>379</v>
      </c>
      <c r="AI113" s="3" t="s">
        <v>380</v>
      </c>
      <c r="AJ113" s="3" t="s">
        <v>69</v>
      </c>
      <c r="AK113" s="3" t="s">
        <v>69</v>
      </c>
      <c r="AL113" s="3" t="s">
        <v>1616</v>
      </c>
      <c r="AM113" s="3" t="s">
        <v>69</v>
      </c>
      <c r="AN113" s="3" t="s">
        <v>69</v>
      </c>
      <c r="AO113" s="3" t="s">
        <v>1617</v>
      </c>
      <c r="AP113" s="3" t="s">
        <v>1604</v>
      </c>
      <c r="AQ113" s="3" t="s">
        <v>1618</v>
      </c>
      <c r="AR113" s="3" t="s">
        <v>85</v>
      </c>
      <c r="AS113" s="3" t="s">
        <v>623</v>
      </c>
      <c r="AT113" s="3" t="s">
        <v>624</v>
      </c>
      <c r="AU113" s="3" t="s">
        <v>1619</v>
      </c>
      <c r="AV113" s="3" t="s">
        <v>1620</v>
      </c>
      <c r="AW113" s="3" t="s">
        <v>1621</v>
      </c>
      <c r="AX113" s="3" t="s">
        <v>69</v>
      </c>
      <c r="AY113" s="3" t="s">
        <v>90</v>
      </c>
      <c r="AZ113" s="8" t="s">
        <v>69</v>
      </c>
      <c r="BA113" s="3" t="s">
        <v>91</v>
      </c>
      <c r="BB113" s="3" t="s">
        <v>92</v>
      </c>
      <c r="BC113" s="3" t="s">
        <v>93</v>
      </c>
      <c r="BD113" s="12" t="str">
        <f>HYPERLINK("http://www.harkins.com","www.harkins.com")</f>
        <v>www.harkins.com</v>
      </c>
      <c r="BE113" s="12" t="str">
        <f>HYPERLINK("http://www.linkedin.com/company/Harkins-Theatres","http://www.linkedin.com/company/Harkins-Theatres")</f>
        <v>http://www.linkedin.com/company/Harkins-Theatres</v>
      </c>
      <c r="BF113" s="9">
        <v>1313</v>
      </c>
      <c r="BG113" s="3" t="s">
        <v>1622</v>
      </c>
      <c r="BH113" s="3" t="s">
        <v>69</v>
      </c>
      <c r="BI113" s="3" t="s">
        <v>69</v>
      </c>
      <c r="BJ113" s="10">
        <v>1933</v>
      </c>
      <c r="BK113" s="3" t="s">
        <v>69</v>
      </c>
      <c r="BL113" s="1">
        <v>45712</v>
      </c>
      <c r="BM113" s="3" t="s">
        <v>69</v>
      </c>
      <c r="BN113" s="3" t="s">
        <v>69</v>
      </c>
      <c r="BO113" s="12" t="str">
        <f>HYPERLINK("https://my.pitchbook.com?c=396957-25","View Company Online")</f>
        <v>View Company Online</v>
      </c>
    </row>
    <row r="114" spans="1:67" x14ac:dyDescent="0.3">
      <c r="A114" s="13" t="s">
        <v>1623</v>
      </c>
      <c r="B114" s="13" t="s">
        <v>1624</v>
      </c>
      <c r="C114" s="13" t="s">
        <v>69</v>
      </c>
      <c r="D114" s="21" t="s">
        <v>69</v>
      </c>
      <c r="E114" s="13" t="s">
        <v>69</v>
      </c>
      <c r="F114" s="13" t="s">
        <v>69</v>
      </c>
      <c r="G114" s="13" t="s">
        <v>69</v>
      </c>
      <c r="H114" s="13" t="s">
        <v>69</v>
      </c>
      <c r="I114" s="19" t="s">
        <v>69</v>
      </c>
      <c r="J114" s="20" t="s">
        <v>69</v>
      </c>
      <c r="K114" s="19" t="s">
        <v>69</v>
      </c>
      <c r="L114" s="19" t="s">
        <v>69</v>
      </c>
      <c r="M114" s="19" t="s">
        <v>69</v>
      </c>
      <c r="N114" s="19" t="s">
        <v>69</v>
      </c>
      <c r="O114" s="19" t="s">
        <v>69</v>
      </c>
      <c r="P114" s="19" t="s">
        <v>69</v>
      </c>
      <c r="Q114" s="19" t="s">
        <v>69</v>
      </c>
      <c r="R114" s="18" t="s">
        <v>69</v>
      </c>
      <c r="S114" s="13" t="s">
        <v>69</v>
      </c>
      <c r="T114" s="13" t="s">
        <v>69</v>
      </c>
      <c r="U114" s="13" t="s">
        <v>69</v>
      </c>
      <c r="V114" s="13" t="s">
        <v>69</v>
      </c>
      <c r="W114" s="13" t="s">
        <v>69</v>
      </c>
      <c r="X114" s="13" t="s">
        <v>1625</v>
      </c>
      <c r="Y114" s="13" t="s">
        <v>1626</v>
      </c>
      <c r="Z114" s="13" t="s">
        <v>69</v>
      </c>
      <c r="AA114" s="13" t="s">
        <v>1627</v>
      </c>
      <c r="AB114" s="13" t="s">
        <v>1628</v>
      </c>
      <c r="AC114" s="18" t="s">
        <v>1629</v>
      </c>
      <c r="AD114" s="13" t="s">
        <v>530</v>
      </c>
      <c r="AE114" s="18" t="s">
        <v>69</v>
      </c>
      <c r="AF114" s="18" t="s">
        <v>69</v>
      </c>
      <c r="AG114" s="13" t="s">
        <v>69</v>
      </c>
      <c r="AH114" s="13" t="s">
        <v>78</v>
      </c>
      <c r="AI114" s="13" t="s">
        <v>132</v>
      </c>
      <c r="AJ114" s="13" t="s">
        <v>69</v>
      </c>
      <c r="AK114" s="13" t="s">
        <v>69</v>
      </c>
      <c r="AL114" s="13" t="s">
        <v>1630</v>
      </c>
      <c r="AM114" s="13" t="s">
        <v>69</v>
      </c>
      <c r="AN114" s="13" t="s">
        <v>69</v>
      </c>
      <c r="AO114" s="13" t="s">
        <v>69</v>
      </c>
      <c r="AP114" s="13" t="s">
        <v>1623</v>
      </c>
      <c r="AQ114" s="13" t="s">
        <v>1631</v>
      </c>
      <c r="AR114" s="13" t="s">
        <v>85</v>
      </c>
      <c r="AS114" s="13" t="s">
        <v>211</v>
      </c>
      <c r="AT114" s="13" t="s">
        <v>1632</v>
      </c>
      <c r="AU114" s="13" t="s">
        <v>1633</v>
      </c>
      <c r="AV114" s="13" t="s">
        <v>69</v>
      </c>
      <c r="AW114" s="13" t="s">
        <v>69</v>
      </c>
      <c r="AX114" s="13" t="s">
        <v>69</v>
      </c>
      <c r="AY114" s="13" t="s">
        <v>90</v>
      </c>
      <c r="AZ114" s="17" t="s">
        <v>69</v>
      </c>
      <c r="BA114" s="13" t="s">
        <v>69</v>
      </c>
      <c r="BB114" s="13" t="s">
        <v>92</v>
      </c>
      <c r="BC114" s="13" t="s">
        <v>93</v>
      </c>
      <c r="BD114" s="11" t="str">
        <f>HYPERLINK("http://holzkern.com","holzkern.com")</f>
        <v>holzkern.com</v>
      </c>
      <c r="BE114" s="11" t="str">
        <f>HYPERLINK("http://www.linkedin.com/company/holzkern","http://www.linkedin.com/company/holzkern")</f>
        <v>http://www.linkedin.com/company/holzkern</v>
      </c>
      <c r="BF114" s="16">
        <v>95</v>
      </c>
      <c r="BG114" s="13" t="s">
        <v>1634</v>
      </c>
      <c r="BH114" s="13" t="s">
        <v>69</v>
      </c>
      <c r="BI114" s="13" t="s">
        <v>69</v>
      </c>
      <c r="BJ114" s="15">
        <v>2016</v>
      </c>
      <c r="BK114" s="13" t="s">
        <v>69</v>
      </c>
      <c r="BL114" s="14">
        <v>45317</v>
      </c>
      <c r="BM114" s="13" t="s">
        <v>69</v>
      </c>
      <c r="BN114" s="13" t="s">
        <v>69</v>
      </c>
      <c r="BO114" s="11" t="str">
        <f>HYPERLINK("https://my.pitchbook.com?c=563497-48","View Company Online")</f>
        <v>View Company Online</v>
      </c>
    </row>
    <row r="115" spans="1:67" x14ac:dyDescent="0.3">
      <c r="A115" s="3" t="s">
        <v>1635</v>
      </c>
      <c r="B115" s="3" t="s">
        <v>1636</v>
      </c>
      <c r="C115" s="3" t="s">
        <v>69</v>
      </c>
      <c r="D115" s="5" t="s">
        <v>69</v>
      </c>
      <c r="E115" s="3" t="s">
        <v>69</v>
      </c>
      <c r="F115" s="3" t="s">
        <v>69</v>
      </c>
      <c r="G115" s="3" t="s">
        <v>69</v>
      </c>
      <c r="H115" s="3" t="s">
        <v>69</v>
      </c>
      <c r="I115" s="4" t="s">
        <v>69</v>
      </c>
      <c r="J115" s="7" t="s">
        <v>69</v>
      </c>
      <c r="K115" s="4" t="s">
        <v>69</v>
      </c>
      <c r="L115" s="4" t="s">
        <v>69</v>
      </c>
      <c r="M115" s="4" t="s">
        <v>69</v>
      </c>
      <c r="N115" s="4" t="s">
        <v>69</v>
      </c>
      <c r="O115" s="4" t="s">
        <v>69</v>
      </c>
      <c r="P115" s="4" t="s">
        <v>69</v>
      </c>
      <c r="Q115" s="4" t="s">
        <v>69</v>
      </c>
      <c r="R115" s="6" t="s">
        <v>69</v>
      </c>
      <c r="S115" s="3" t="s">
        <v>1637</v>
      </c>
      <c r="T115" s="3" t="s">
        <v>1638</v>
      </c>
      <c r="U115" s="3" t="s">
        <v>1639</v>
      </c>
      <c r="V115" s="3" t="s">
        <v>1640</v>
      </c>
      <c r="W115" s="3" t="s">
        <v>1641</v>
      </c>
      <c r="X115" s="3" t="s">
        <v>1642</v>
      </c>
      <c r="Y115" s="3" t="s">
        <v>1643</v>
      </c>
      <c r="Z115" s="3" t="s">
        <v>69</v>
      </c>
      <c r="AA115" s="3" t="s">
        <v>1644</v>
      </c>
      <c r="AB115" s="3" t="s">
        <v>834</v>
      </c>
      <c r="AC115" s="6" t="s">
        <v>1645</v>
      </c>
      <c r="AD115" s="3" t="s">
        <v>378</v>
      </c>
      <c r="AE115" s="6" t="s">
        <v>1641</v>
      </c>
      <c r="AF115" s="6" t="s">
        <v>1646</v>
      </c>
      <c r="AG115" s="3" t="s">
        <v>1647</v>
      </c>
      <c r="AH115" s="3" t="s">
        <v>379</v>
      </c>
      <c r="AI115" s="3" t="s">
        <v>380</v>
      </c>
      <c r="AJ115" s="3" t="s">
        <v>69</v>
      </c>
      <c r="AK115" s="3" t="s">
        <v>1648</v>
      </c>
      <c r="AL115" s="3" t="s">
        <v>1649</v>
      </c>
      <c r="AM115" s="3" t="s">
        <v>69</v>
      </c>
      <c r="AN115" s="3" t="s">
        <v>69</v>
      </c>
      <c r="AO115" s="3" t="s">
        <v>1650</v>
      </c>
      <c r="AP115" s="3" t="s">
        <v>1635</v>
      </c>
      <c r="AQ115" s="3" t="s">
        <v>1651</v>
      </c>
      <c r="AR115" s="3" t="s">
        <v>85</v>
      </c>
      <c r="AS115" s="3" t="s">
        <v>211</v>
      </c>
      <c r="AT115" s="3" t="s">
        <v>212</v>
      </c>
      <c r="AU115" s="3" t="s">
        <v>1576</v>
      </c>
      <c r="AV115" s="3" t="s">
        <v>214</v>
      </c>
      <c r="AW115" s="3" t="s">
        <v>1652</v>
      </c>
      <c r="AX115" s="3" t="s">
        <v>69</v>
      </c>
      <c r="AY115" s="3" t="s">
        <v>90</v>
      </c>
      <c r="AZ115" s="8" t="s">
        <v>69</v>
      </c>
      <c r="BA115" s="3" t="s">
        <v>91</v>
      </c>
      <c r="BB115" s="3" t="s">
        <v>92</v>
      </c>
      <c r="BC115" s="3" t="s">
        <v>93</v>
      </c>
      <c r="BD115" s="12" t="str">
        <f>HYPERLINK("http://www.invictawatch.com","www.invictawatch.com")</f>
        <v>www.invictawatch.com</v>
      </c>
      <c r="BE115" s="12" t="str">
        <f>HYPERLINK("http://www.linkedin.com/company/invicta-watch-group","http://www.linkedin.com/company/invicta-watch-group")</f>
        <v>http://www.linkedin.com/company/invicta-watch-group</v>
      </c>
      <c r="BF115" s="9">
        <v>60</v>
      </c>
      <c r="BG115" s="3" t="s">
        <v>1653</v>
      </c>
      <c r="BH115" s="3" t="s">
        <v>69</v>
      </c>
      <c r="BI115" s="3" t="s">
        <v>69</v>
      </c>
      <c r="BJ115" s="10">
        <v>1836</v>
      </c>
      <c r="BK115" s="3" t="s">
        <v>69</v>
      </c>
      <c r="BL115" s="1">
        <v>45439</v>
      </c>
      <c r="BM115" s="3" t="s">
        <v>69</v>
      </c>
      <c r="BN115" s="3" t="s">
        <v>69</v>
      </c>
      <c r="BO115" s="12" t="str">
        <f>HYPERLINK("https://my.pitchbook.com?c=164043-55","View Company Online")</f>
        <v>View Company Online</v>
      </c>
    </row>
    <row r="116" spans="1:67" x14ac:dyDescent="0.3">
      <c r="A116" s="13" t="s">
        <v>1654</v>
      </c>
      <c r="B116" s="13" t="s">
        <v>1655</v>
      </c>
      <c r="C116" s="13" t="s">
        <v>69</v>
      </c>
      <c r="D116" s="21" t="s">
        <v>69</v>
      </c>
      <c r="E116" s="13" t="s">
        <v>69</v>
      </c>
      <c r="F116" s="13" t="s">
        <v>69</v>
      </c>
      <c r="G116" s="13" t="s">
        <v>69</v>
      </c>
      <c r="H116" s="13" t="s">
        <v>69</v>
      </c>
      <c r="I116" s="19" t="s">
        <v>69</v>
      </c>
      <c r="J116" s="20" t="s">
        <v>69</v>
      </c>
      <c r="K116" s="19" t="s">
        <v>69</v>
      </c>
      <c r="L116" s="19" t="s">
        <v>69</v>
      </c>
      <c r="M116" s="19" t="s">
        <v>69</v>
      </c>
      <c r="N116" s="19" t="s">
        <v>69</v>
      </c>
      <c r="O116" s="19" t="s">
        <v>69</v>
      </c>
      <c r="P116" s="19" t="s">
        <v>69</v>
      </c>
      <c r="Q116" s="19" t="s">
        <v>69</v>
      </c>
      <c r="R116" s="18" t="s">
        <v>69</v>
      </c>
      <c r="S116" s="13" t="s">
        <v>69</v>
      </c>
      <c r="T116" s="13" t="s">
        <v>69</v>
      </c>
      <c r="U116" s="13" t="s">
        <v>69</v>
      </c>
      <c r="V116" s="13" t="s">
        <v>69</v>
      </c>
      <c r="W116" s="13" t="s">
        <v>69</v>
      </c>
      <c r="X116" s="13" t="s">
        <v>1656</v>
      </c>
      <c r="Y116" s="13" t="s">
        <v>1657</v>
      </c>
      <c r="Z116" s="13" t="s">
        <v>69</v>
      </c>
      <c r="AA116" s="13" t="s">
        <v>1658</v>
      </c>
      <c r="AB116" s="13" t="s">
        <v>742</v>
      </c>
      <c r="AC116" s="18" t="s">
        <v>1659</v>
      </c>
      <c r="AD116" s="13" t="s">
        <v>295</v>
      </c>
      <c r="AE116" s="18" t="s">
        <v>1660</v>
      </c>
      <c r="AF116" s="18" t="s">
        <v>69</v>
      </c>
      <c r="AG116" s="13" t="s">
        <v>1661</v>
      </c>
      <c r="AH116" s="13" t="s">
        <v>78</v>
      </c>
      <c r="AI116" s="13" t="s">
        <v>132</v>
      </c>
      <c r="AJ116" s="13" t="s">
        <v>69</v>
      </c>
      <c r="AK116" s="13" t="s">
        <v>69</v>
      </c>
      <c r="AL116" s="13" t="s">
        <v>69</v>
      </c>
      <c r="AM116" s="13" t="s">
        <v>69</v>
      </c>
      <c r="AN116" s="13" t="s">
        <v>69</v>
      </c>
      <c r="AO116" s="13" t="s">
        <v>69</v>
      </c>
      <c r="AP116" s="13" t="s">
        <v>1654</v>
      </c>
      <c r="AQ116" s="13" t="s">
        <v>1662</v>
      </c>
      <c r="AR116" s="13" t="s">
        <v>185</v>
      </c>
      <c r="AS116" s="13" t="s">
        <v>348</v>
      </c>
      <c r="AT116" s="13" t="s">
        <v>1159</v>
      </c>
      <c r="AU116" s="13" t="s">
        <v>1663</v>
      </c>
      <c r="AV116" s="13" t="s">
        <v>69</v>
      </c>
      <c r="AW116" s="13" t="s">
        <v>1664</v>
      </c>
      <c r="AX116" s="13" t="s">
        <v>69</v>
      </c>
      <c r="AY116" s="13" t="s">
        <v>90</v>
      </c>
      <c r="AZ116" s="17" t="s">
        <v>69</v>
      </c>
      <c r="BA116" s="13" t="s">
        <v>69</v>
      </c>
      <c r="BB116" s="13" t="s">
        <v>92</v>
      </c>
      <c r="BC116" s="13" t="s">
        <v>93</v>
      </c>
      <c r="BD116" s="11" t="str">
        <f>HYPERLINK("http://ct-ipc.com","ct-ipc.com")</f>
        <v>ct-ipc.com</v>
      </c>
      <c r="BE116" s="11" t="str">
        <f>HYPERLINK("http://www.linkedin.com/company/ct-ipc","http://www.linkedin.com/company/ct-ipc")</f>
        <v>http://www.linkedin.com/company/ct-ipc</v>
      </c>
      <c r="BF116" s="16">
        <v>150</v>
      </c>
      <c r="BG116" s="13" t="s">
        <v>1665</v>
      </c>
      <c r="BH116" s="13" t="s">
        <v>69</v>
      </c>
      <c r="BI116" s="13" t="s">
        <v>69</v>
      </c>
      <c r="BJ116" s="15">
        <v>2016</v>
      </c>
      <c r="BK116" s="13" t="s">
        <v>69</v>
      </c>
      <c r="BL116" s="14">
        <v>45315</v>
      </c>
      <c r="BM116" s="13" t="s">
        <v>69</v>
      </c>
      <c r="BN116" s="13" t="s">
        <v>69</v>
      </c>
      <c r="BO116" s="11" t="str">
        <f>HYPERLINK("https://my.pitchbook.com?c=558394-30","View Company Online")</f>
        <v>View Company Online</v>
      </c>
    </row>
    <row r="117" spans="1:67" x14ac:dyDescent="0.3">
      <c r="A117" s="3" t="s">
        <v>1666</v>
      </c>
      <c r="B117" s="3" t="s">
        <v>1667</v>
      </c>
      <c r="C117" s="3" t="s">
        <v>69</v>
      </c>
      <c r="D117" s="5" t="s">
        <v>69</v>
      </c>
      <c r="E117" s="3" t="s">
        <v>69</v>
      </c>
      <c r="F117" s="3" t="s">
        <v>69</v>
      </c>
      <c r="G117" s="3" t="s">
        <v>69</v>
      </c>
      <c r="H117" s="3" t="s">
        <v>69</v>
      </c>
      <c r="I117" s="4" t="s">
        <v>69</v>
      </c>
      <c r="J117" s="7" t="s">
        <v>69</v>
      </c>
      <c r="K117" s="4" t="s">
        <v>69</v>
      </c>
      <c r="L117" s="4" t="s">
        <v>69</v>
      </c>
      <c r="M117" s="4" t="s">
        <v>69</v>
      </c>
      <c r="N117" s="4" t="s">
        <v>69</v>
      </c>
      <c r="O117" s="4" t="s">
        <v>69</v>
      </c>
      <c r="P117" s="4" t="s">
        <v>69</v>
      </c>
      <c r="Q117" s="4" t="s">
        <v>69</v>
      </c>
      <c r="R117" s="6" t="s">
        <v>69</v>
      </c>
      <c r="S117" s="3" t="s">
        <v>69</v>
      </c>
      <c r="T117" s="3" t="s">
        <v>69</v>
      </c>
      <c r="U117" s="3" t="s">
        <v>69</v>
      </c>
      <c r="V117" s="3" t="s">
        <v>69</v>
      </c>
      <c r="W117" s="3" t="s">
        <v>69</v>
      </c>
      <c r="X117" s="3" t="s">
        <v>1668</v>
      </c>
      <c r="Y117" s="3" t="s">
        <v>1669</v>
      </c>
      <c r="Z117" s="3" t="s">
        <v>69</v>
      </c>
      <c r="AA117" s="3" t="s">
        <v>1670</v>
      </c>
      <c r="AB117" s="3" t="s">
        <v>1671</v>
      </c>
      <c r="AC117" s="6" t="s">
        <v>1672</v>
      </c>
      <c r="AD117" s="3" t="s">
        <v>1673</v>
      </c>
      <c r="AE117" s="6" t="s">
        <v>69</v>
      </c>
      <c r="AF117" s="6" t="s">
        <v>69</v>
      </c>
      <c r="AG117" s="3" t="s">
        <v>69</v>
      </c>
      <c r="AH117" s="3" t="s">
        <v>78</v>
      </c>
      <c r="AI117" s="3" t="s">
        <v>359</v>
      </c>
      <c r="AJ117" s="3" t="s">
        <v>69</v>
      </c>
      <c r="AK117" s="3" t="s">
        <v>69</v>
      </c>
      <c r="AL117" s="3" t="s">
        <v>69</v>
      </c>
      <c r="AM117" s="3" t="s">
        <v>69</v>
      </c>
      <c r="AN117" s="3" t="s">
        <v>69</v>
      </c>
      <c r="AO117" s="3" t="s">
        <v>69</v>
      </c>
      <c r="AP117" s="3" t="s">
        <v>1666</v>
      </c>
      <c r="AQ117" s="3" t="s">
        <v>1674</v>
      </c>
      <c r="AR117" s="3" t="s">
        <v>185</v>
      </c>
      <c r="AS117" s="3" t="s">
        <v>186</v>
      </c>
      <c r="AT117" s="3" t="s">
        <v>187</v>
      </c>
      <c r="AU117" s="3" t="s">
        <v>945</v>
      </c>
      <c r="AV117" s="3" t="s">
        <v>69</v>
      </c>
      <c r="AW117" s="3" t="s">
        <v>1675</v>
      </c>
      <c r="AX117" s="3" t="s">
        <v>69</v>
      </c>
      <c r="AY117" s="3" t="s">
        <v>90</v>
      </c>
      <c r="AZ117" s="8" t="s">
        <v>69</v>
      </c>
      <c r="BA117" s="3" t="s">
        <v>69</v>
      </c>
      <c r="BB117" s="3" t="s">
        <v>92</v>
      </c>
      <c r="BC117" s="3" t="s">
        <v>93</v>
      </c>
      <c r="BD117" s="12" t="str">
        <f>HYPERLINK("http://istores.cz","istores.cz")</f>
        <v>istores.cz</v>
      </c>
      <c r="BE117" s="12" t="str">
        <f>HYPERLINK("http://www.linkedin.com/company/itouch-apple-premium-reseller","http://www.linkedin.com/company/itouch-apple-premium-reseller")</f>
        <v>http://www.linkedin.com/company/itouch-apple-premium-reseller</v>
      </c>
      <c r="BF117" s="9">
        <v>76</v>
      </c>
      <c r="BG117" s="3" t="s">
        <v>1676</v>
      </c>
      <c r="BH117" s="3" t="s">
        <v>69</v>
      </c>
      <c r="BI117" s="3" t="s">
        <v>69</v>
      </c>
      <c r="BJ117" s="10">
        <v>2011</v>
      </c>
      <c r="BK117" s="3" t="s">
        <v>69</v>
      </c>
      <c r="BL117" s="1">
        <v>45301</v>
      </c>
      <c r="BM117" s="3" t="s">
        <v>69</v>
      </c>
      <c r="BN117" s="3" t="s">
        <v>69</v>
      </c>
      <c r="BO117" s="12" t="str">
        <f>HYPERLINK("https://my.pitchbook.com?c=546142-87","View Company Online")</f>
        <v>View Company Online</v>
      </c>
    </row>
    <row r="118" spans="1:67" x14ac:dyDescent="0.3">
      <c r="A118" s="13" t="s">
        <v>1677</v>
      </c>
      <c r="B118" s="13" t="s">
        <v>1678</v>
      </c>
      <c r="C118" s="13" t="s">
        <v>69</v>
      </c>
      <c r="D118" s="21" t="s">
        <v>69</v>
      </c>
      <c r="E118" s="13" t="s">
        <v>69</v>
      </c>
      <c r="F118" s="13" t="s">
        <v>69</v>
      </c>
      <c r="G118" s="13" t="s">
        <v>69</v>
      </c>
      <c r="H118" s="13" t="s">
        <v>69</v>
      </c>
      <c r="I118" s="19" t="s">
        <v>69</v>
      </c>
      <c r="J118" s="20" t="s">
        <v>69</v>
      </c>
      <c r="K118" s="19" t="s">
        <v>69</v>
      </c>
      <c r="L118" s="19" t="s">
        <v>69</v>
      </c>
      <c r="M118" s="19" t="s">
        <v>69</v>
      </c>
      <c r="N118" s="19" t="s">
        <v>69</v>
      </c>
      <c r="O118" s="19" t="s">
        <v>69</v>
      </c>
      <c r="P118" s="19" t="s">
        <v>69</v>
      </c>
      <c r="Q118" s="19" t="s">
        <v>69</v>
      </c>
      <c r="R118" s="18" t="s">
        <v>69</v>
      </c>
      <c r="S118" s="13" t="s">
        <v>1679</v>
      </c>
      <c r="T118" s="13" t="s">
        <v>1680</v>
      </c>
      <c r="U118" s="13" t="s">
        <v>370</v>
      </c>
      <c r="V118" s="13" t="s">
        <v>1681</v>
      </c>
      <c r="W118" s="13" t="s">
        <v>1682</v>
      </c>
      <c r="X118" s="13" t="s">
        <v>1099</v>
      </c>
      <c r="Y118" s="13" t="s">
        <v>1683</v>
      </c>
      <c r="Z118" s="13" t="s">
        <v>69</v>
      </c>
      <c r="AA118" s="13" t="s">
        <v>1102</v>
      </c>
      <c r="AB118" s="13" t="s">
        <v>1102</v>
      </c>
      <c r="AC118" s="18" t="s">
        <v>1684</v>
      </c>
      <c r="AD118" s="13" t="s">
        <v>378</v>
      </c>
      <c r="AE118" s="18" t="s">
        <v>1682</v>
      </c>
      <c r="AF118" s="18" t="s">
        <v>69</v>
      </c>
      <c r="AG118" s="13" t="s">
        <v>1685</v>
      </c>
      <c r="AH118" s="13" t="s">
        <v>379</v>
      </c>
      <c r="AI118" s="13" t="s">
        <v>380</v>
      </c>
      <c r="AJ118" s="13" t="s">
        <v>69</v>
      </c>
      <c r="AK118" s="13" t="s">
        <v>69</v>
      </c>
      <c r="AL118" s="13" t="s">
        <v>1686</v>
      </c>
      <c r="AM118" s="13" t="s">
        <v>69</v>
      </c>
      <c r="AN118" s="13" t="s">
        <v>69</v>
      </c>
      <c r="AO118" s="13" t="s">
        <v>1687</v>
      </c>
      <c r="AP118" s="13" t="s">
        <v>1677</v>
      </c>
      <c r="AQ118" s="13" t="s">
        <v>1688</v>
      </c>
      <c r="AR118" s="13" t="s">
        <v>85</v>
      </c>
      <c r="AS118" s="13" t="s">
        <v>86</v>
      </c>
      <c r="AT118" s="13" t="s">
        <v>87</v>
      </c>
      <c r="AU118" s="13" t="s">
        <v>88</v>
      </c>
      <c r="AV118" s="13" t="s">
        <v>69</v>
      </c>
      <c r="AW118" s="13" t="s">
        <v>1689</v>
      </c>
      <c r="AX118" s="13" t="s">
        <v>69</v>
      </c>
      <c r="AY118" s="13" t="s">
        <v>90</v>
      </c>
      <c r="AZ118" s="17" t="s">
        <v>69</v>
      </c>
      <c r="BA118" s="13" t="s">
        <v>91</v>
      </c>
      <c r="BB118" s="13" t="s">
        <v>92</v>
      </c>
      <c r="BC118" s="13" t="s">
        <v>93</v>
      </c>
      <c r="BD118" s="11" t="str">
        <f>HYPERLINK("http://www.jacobandco.com","www.jacobandco.com")</f>
        <v>www.jacobandco.com</v>
      </c>
      <c r="BE118" s="11" t="str">
        <f>HYPERLINK("http://www.linkedin.com/company/jacob-&amp;-co","http://www.linkedin.com/company/jacob-&amp;-co")</f>
        <v>http://www.linkedin.com/company/jacob-&amp;-co</v>
      </c>
      <c r="BF118" s="16">
        <v>290</v>
      </c>
      <c r="BG118" s="13" t="s">
        <v>1690</v>
      </c>
      <c r="BH118" s="13" t="s">
        <v>69</v>
      </c>
      <c r="BI118" s="13" t="s">
        <v>69</v>
      </c>
      <c r="BJ118" s="15">
        <v>1986</v>
      </c>
      <c r="BK118" s="13" t="s">
        <v>69</v>
      </c>
      <c r="BL118" s="14">
        <v>45751</v>
      </c>
      <c r="BM118" s="13" t="s">
        <v>69</v>
      </c>
      <c r="BN118" s="13" t="s">
        <v>69</v>
      </c>
      <c r="BO118" s="11" t="str">
        <f>HYPERLINK("https://my.pitchbook.com?c=374635-00","View Company Online")</f>
        <v>View Company Online</v>
      </c>
    </row>
    <row r="119" spans="1:67" x14ac:dyDescent="0.3">
      <c r="A119" s="3" t="s">
        <v>1691</v>
      </c>
      <c r="B119" s="3" t="s">
        <v>1692</v>
      </c>
      <c r="C119" s="3" t="s">
        <v>69</v>
      </c>
      <c r="D119" s="5" t="s">
        <v>69</v>
      </c>
      <c r="E119" s="3" t="s">
        <v>69</v>
      </c>
      <c r="F119" s="3" t="s">
        <v>69</v>
      </c>
      <c r="G119" s="3" t="s">
        <v>69</v>
      </c>
      <c r="H119" s="3" t="s">
        <v>69</v>
      </c>
      <c r="I119" s="4" t="s">
        <v>69</v>
      </c>
      <c r="J119" s="7" t="s">
        <v>69</v>
      </c>
      <c r="K119" s="4" t="s">
        <v>69</v>
      </c>
      <c r="L119" s="4" t="s">
        <v>69</v>
      </c>
      <c r="M119" s="4" t="s">
        <v>69</v>
      </c>
      <c r="N119" s="4" t="s">
        <v>69</v>
      </c>
      <c r="O119" s="4" t="s">
        <v>69</v>
      </c>
      <c r="P119" s="4" t="s">
        <v>69</v>
      </c>
      <c r="Q119" s="4" t="s">
        <v>69</v>
      </c>
      <c r="R119" s="6" t="s">
        <v>69</v>
      </c>
      <c r="S119" s="3" t="s">
        <v>69</v>
      </c>
      <c r="T119" s="3" t="s">
        <v>69</v>
      </c>
      <c r="U119" s="3" t="s">
        <v>69</v>
      </c>
      <c r="V119" s="3" t="s">
        <v>69</v>
      </c>
      <c r="W119" s="3" t="s">
        <v>69</v>
      </c>
      <c r="X119" s="3" t="s">
        <v>1693</v>
      </c>
      <c r="Y119" s="3" t="s">
        <v>69</v>
      </c>
      <c r="Z119" s="3" t="s">
        <v>69</v>
      </c>
      <c r="AA119" s="3" t="s">
        <v>1694</v>
      </c>
      <c r="AB119" s="3" t="s">
        <v>1695</v>
      </c>
      <c r="AC119" s="6" t="s">
        <v>1696</v>
      </c>
      <c r="AD119" s="3" t="s">
        <v>378</v>
      </c>
      <c r="AE119" s="6" t="s">
        <v>1697</v>
      </c>
      <c r="AF119" s="6" t="s">
        <v>69</v>
      </c>
      <c r="AG119" s="3" t="s">
        <v>1698</v>
      </c>
      <c r="AH119" s="3" t="s">
        <v>379</v>
      </c>
      <c r="AI119" s="3" t="s">
        <v>380</v>
      </c>
      <c r="AJ119" s="3" t="s">
        <v>69</v>
      </c>
      <c r="AK119" s="3" t="s">
        <v>69</v>
      </c>
      <c r="AL119" s="3" t="s">
        <v>69</v>
      </c>
      <c r="AM119" s="3" t="s">
        <v>69</v>
      </c>
      <c r="AN119" s="3" t="s">
        <v>69</v>
      </c>
      <c r="AO119" s="3" t="s">
        <v>69</v>
      </c>
      <c r="AP119" s="3" t="s">
        <v>1691</v>
      </c>
      <c r="AQ119" s="3" t="s">
        <v>1699</v>
      </c>
      <c r="AR119" s="3" t="s">
        <v>85</v>
      </c>
      <c r="AS119" s="3" t="s">
        <v>572</v>
      </c>
      <c r="AT119" s="3" t="s">
        <v>1700</v>
      </c>
      <c r="AU119" s="3" t="s">
        <v>1701</v>
      </c>
      <c r="AV119" s="3" t="s">
        <v>69</v>
      </c>
      <c r="AW119" s="3" t="s">
        <v>1702</v>
      </c>
      <c r="AX119" s="3" t="s">
        <v>69</v>
      </c>
      <c r="AY119" s="3" t="s">
        <v>90</v>
      </c>
      <c r="AZ119" s="8" t="s">
        <v>69</v>
      </c>
      <c r="BA119" s="3" t="s">
        <v>91</v>
      </c>
      <c r="BB119" s="3" t="s">
        <v>92</v>
      </c>
      <c r="BC119" s="3" t="s">
        <v>93</v>
      </c>
      <c r="BD119" s="12" t="str">
        <f>HYPERLINK("http://joesbar.com","joesbar.com")</f>
        <v>joesbar.com</v>
      </c>
      <c r="BE119" s="12" t="str">
        <f>HYPERLINK("http://www.linkedin.com/company/joesbar","http://www.linkedin.com/company/joesbar")</f>
        <v>http://www.linkedin.com/company/joesbar</v>
      </c>
      <c r="BF119" s="9">
        <v>79</v>
      </c>
      <c r="BG119" s="3" t="s">
        <v>1703</v>
      </c>
      <c r="BH119" s="3" t="s">
        <v>69</v>
      </c>
      <c r="BI119" s="3" t="s">
        <v>69</v>
      </c>
      <c r="BJ119" s="10" t="s">
        <v>69</v>
      </c>
      <c r="BK119" s="3" t="s">
        <v>69</v>
      </c>
      <c r="BL119" s="1">
        <v>45136</v>
      </c>
      <c r="BM119" s="3" t="s">
        <v>69</v>
      </c>
      <c r="BN119" s="3" t="s">
        <v>69</v>
      </c>
      <c r="BO119" s="12" t="str">
        <f>HYPERLINK("https://my.pitchbook.com?c=240090-31","View Company Online")</f>
        <v>View Company Online</v>
      </c>
    </row>
    <row r="120" spans="1:67" x14ac:dyDescent="0.3">
      <c r="A120" s="13" t="s">
        <v>1704</v>
      </c>
      <c r="B120" s="13" t="s">
        <v>1705</v>
      </c>
      <c r="C120" s="13" t="s">
        <v>69</v>
      </c>
      <c r="D120" s="21" t="s">
        <v>69</v>
      </c>
      <c r="E120" s="13" t="s">
        <v>69</v>
      </c>
      <c r="F120" s="13" t="s">
        <v>69</v>
      </c>
      <c r="G120" s="13" t="s">
        <v>69</v>
      </c>
      <c r="H120" s="13" t="s">
        <v>69</v>
      </c>
      <c r="I120" s="19" t="s">
        <v>69</v>
      </c>
      <c r="J120" s="20" t="s">
        <v>69</v>
      </c>
      <c r="K120" s="19" t="s">
        <v>69</v>
      </c>
      <c r="L120" s="19" t="s">
        <v>69</v>
      </c>
      <c r="M120" s="19" t="s">
        <v>69</v>
      </c>
      <c r="N120" s="19" t="s">
        <v>69</v>
      </c>
      <c r="O120" s="19" t="s">
        <v>69</v>
      </c>
      <c r="P120" s="19" t="s">
        <v>69</v>
      </c>
      <c r="Q120" s="19" t="s">
        <v>69</v>
      </c>
      <c r="R120" s="18" t="s">
        <v>69</v>
      </c>
      <c r="S120" s="13" t="s">
        <v>69</v>
      </c>
      <c r="T120" s="13" t="s">
        <v>69</v>
      </c>
      <c r="U120" s="13" t="s">
        <v>69</v>
      </c>
      <c r="V120" s="13" t="s">
        <v>69</v>
      </c>
      <c r="W120" s="13" t="s">
        <v>69</v>
      </c>
      <c r="X120" s="13" t="s">
        <v>1362</v>
      </c>
      <c r="Y120" s="13" t="s">
        <v>1706</v>
      </c>
      <c r="Z120" s="13" t="s">
        <v>69</v>
      </c>
      <c r="AA120" s="13" t="s">
        <v>1363</v>
      </c>
      <c r="AB120" s="13" t="s">
        <v>1707</v>
      </c>
      <c r="AC120" s="18" t="s">
        <v>1708</v>
      </c>
      <c r="AD120" s="13" t="s">
        <v>1271</v>
      </c>
      <c r="AE120" s="18" t="s">
        <v>69</v>
      </c>
      <c r="AF120" s="18" t="s">
        <v>69</v>
      </c>
      <c r="AG120" s="13" t="s">
        <v>69</v>
      </c>
      <c r="AH120" s="13" t="s">
        <v>379</v>
      </c>
      <c r="AI120" s="13" t="s">
        <v>921</v>
      </c>
      <c r="AJ120" s="13" t="s">
        <v>69</v>
      </c>
      <c r="AK120" s="13" t="s">
        <v>69</v>
      </c>
      <c r="AL120" s="13" t="s">
        <v>69</v>
      </c>
      <c r="AM120" s="13" t="s">
        <v>69</v>
      </c>
      <c r="AN120" s="13" t="s">
        <v>69</v>
      </c>
      <c r="AO120" s="13" t="s">
        <v>69</v>
      </c>
      <c r="AP120" s="13" t="s">
        <v>1704</v>
      </c>
      <c r="AQ120" s="13" t="s">
        <v>1709</v>
      </c>
      <c r="AR120" s="13" t="s">
        <v>85</v>
      </c>
      <c r="AS120" s="13" t="s">
        <v>211</v>
      </c>
      <c r="AT120" s="13" t="s">
        <v>299</v>
      </c>
      <c r="AU120" s="13" t="s">
        <v>300</v>
      </c>
      <c r="AV120" s="13" t="s">
        <v>69</v>
      </c>
      <c r="AW120" s="13" t="s">
        <v>1710</v>
      </c>
      <c r="AX120" s="13" t="s">
        <v>69</v>
      </c>
      <c r="AY120" s="13" t="s">
        <v>90</v>
      </c>
      <c r="AZ120" s="17" t="s">
        <v>69</v>
      </c>
      <c r="BA120" s="13" t="s">
        <v>69</v>
      </c>
      <c r="BB120" s="13" t="s">
        <v>92</v>
      </c>
      <c r="BC120" s="13" t="s">
        <v>93</v>
      </c>
      <c r="BD120" s="11" t="str">
        <f>HYPERLINK("http://juliookubo.com.br","juliookubo.com.br")</f>
        <v>juliookubo.com.br</v>
      </c>
      <c r="BE120" s="11" t="str">
        <f>HYPERLINK("http://www.linkedin.com/company/julio-okubo-joias","http://www.linkedin.com/company/julio-okubo-joias")</f>
        <v>http://www.linkedin.com/company/julio-okubo-joias</v>
      </c>
      <c r="BF120" s="16">
        <v>53</v>
      </c>
      <c r="BG120" s="13" t="s">
        <v>1393</v>
      </c>
      <c r="BH120" s="13" t="s">
        <v>69</v>
      </c>
      <c r="BI120" s="13" t="s">
        <v>69</v>
      </c>
      <c r="BJ120" s="15">
        <v>1965</v>
      </c>
      <c r="BK120" s="13" t="s">
        <v>69</v>
      </c>
      <c r="BL120" s="14">
        <v>45318</v>
      </c>
      <c r="BM120" s="13" t="s">
        <v>69</v>
      </c>
      <c r="BN120" s="13" t="s">
        <v>69</v>
      </c>
      <c r="BO120" s="11" t="str">
        <f>HYPERLINK("https://my.pitchbook.com?c=564950-26","View Company Online")</f>
        <v>View Company Online</v>
      </c>
    </row>
    <row r="121" spans="1:67" x14ac:dyDescent="0.3">
      <c r="A121" s="3" t="s">
        <v>1711</v>
      </c>
      <c r="B121" s="3" t="s">
        <v>1712</v>
      </c>
      <c r="C121" s="3" t="s">
        <v>69</v>
      </c>
      <c r="D121" s="5" t="s">
        <v>69</v>
      </c>
      <c r="E121" s="3" t="s">
        <v>69</v>
      </c>
      <c r="F121" s="3" t="s">
        <v>69</v>
      </c>
      <c r="G121" s="3" t="s">
        <v>69</v>
      </c>
      <c r="H121" s="3" t="s">
        <v>69</v>
      </c>
      <c r="I121" s="4" t="s">
        <v>69</v>
      </c>
      <c r="J121" s="7" t="s">
        <v>69</v>
      </c>
      <c r="K121" s="4" t="s">
        <v>69</v>
      </c>
      <c r="L121" s="4" t="s">
        <v>69</v>
      </c>
      <c r="M121" s="4" t="s">
        <v>69</v>
      </c>
      <c r="N121" s="4" t="s">
        <v>69</v>
      </c>
      <c r="O121" s="4" t="s">
        <v>69</v>
      </c>
      <c r="P121" s="4" t="s">
        <v>69</v>
      </c>
      <c r="Q121" s="4" t="s">
        <v>69</v>
      </c>
      <c r="R121" s="6" t="s">
        <v>69</v>
      </c>
      <c r="S121" s="3" t="s">
        <v>1713</v>
      </c>
      <c r="T121" s="3" t="s">
        <v>1714</v>
      </c>
      <c r="U121" s="3" t="s">
        <v>1715</v>
      </c>
      <c r="V121" s="3" t="s">
        <v>69</v>
      </c>
      <c r="W121" s="3" t="s">
        <v>1716</v>
      </c>
      <c r="X121" s="3" t="s">
        <v>1717</v>
      </c>
      <c r="Y121" s="3" t="s">
        <v>1718</v>
      </c>
      <c r="Z121" s="3" t="s">
        <v>69</v>
      </c>
      <c r="AA121" s="3" t="s">
        <v>1719</v>
      </c>
      <c r="AB121" s="3" t="s">
        <v>974</v>
      </c>
      <c r="AC121" s="6" t="s">
        <v>1720</v>
      </c>
      <c r="AD121" s="3" t="s">
        <v>128</v>
      </c>
      <c r="AE121" s="6" t="s">
        <v>1716</v>
      </c>
      <c r="AF121" s="6" t="s">
        <v>1721</v>
      </c>
      <c r="AG121" s="3" t="s">
        <v>1722</v>
      </c>
      <c r="AH121" s="3" t="s">
        <v>78</v>
      </c>
      <c r="AI121" s="3" t="s">
        <v>132</v>
      </c>
      <c r="AJ121" s="3" t="s">
        <v>69</v>
      </c>
      <c r="AK121" s="3" t="s">
        <v>1723</v>
      </c>
      <c r="AL121" s="3" t="s">
        <v>1724</v>
      </c>
      <c r="AM121" s="3" t="s">
        <v>1725</v>
      </c>
      <c r="AN121" s="3" t="s">
        <v>1726</v>
      </c>
      <c r="AO121" s="3" t="s">
        <v>69</v>
      </c>
      <c r="AP121" s="3" t="s">
        <v>1711</v>
      </c>
      <c r="AQ121" s="3" t="s">
        <v>1727</v>
      </c>
      <c r="AR121" s="3" t="s">
        <v>85</v>
      </c>
      <c r="AS121" s="3" t="s">
        <v>86</v>
      </c>
      <c r="AT121" s="3" t="s">
        <v>87</v>
      </c>
      <c r="AU121" s="3" t="s">
        <v>1728</v>
      </c>
      <c r="AV121" s="3" t="s">
        <v>214</v>
      </c>
      <c r="AW121" s="3" t="s">
        <v>1729</v>
      </c>
      <c r="AX121" s="3" t="s">
        <v>69</v>
      </c>
      <c r="AY121" s="3" t="s">
        <v>90</v>
      </c>
      <c r="AZ121" s="8" t="s">
        <v>69</v>
      </c>
      <c r="BA121" s="3" t="s">
        <v>91</v>
      </c>
      <c r="BB121" s="3" t="s">
        <v>92</v>
      </c>
      <c r="BC121" s="3" t="s">
        <v>93</v>
      </c>
      <c r="BD121" s="12" t="str">
        <f>HYPERLINK("http://www.rueschenbeck.de","www.rueschenbeck.de")</f>
        <v>www.rueschenbeck.de</v>
      </c>
      <c r="BE121" s="3" t="s">
        <v>69</v>
      </c>
      <c r="BF121" s="9">
        <v>140</v>
      </c>
      <c r="BG121" s="3" t="s">
        <v>1730</v>
      </c>
      <c r="BH121" s="3" t="s">
        <v>69</v>
      </c>
      <c r="BI121" s="3" t="s">
        <v>69</v>
      </c>
      <c r="BJ121" s="10">
        <v>1904</v>
      </c>
      <c r="BK121" s="3" t="s">
        <v>69</v>
      </c>
      <c r="BL121" s="1">
        <v>44412</v>
      </c>
      <c r="BM121" s="3" t="s">
        <v>69</v>
      </c>
      <c r="BN121" s="3" t="s">
        <v>69</v>
      </c>
      <c r="BO121" s="12" t="str">
        <f>HYPERLINK("https://my.pitchbook.com?c=471109-69","View Company Online")</f>
        <v>View Company Online</v>
      </c>
    </row>
    <row r="122" spans="1:67" x14ac:dyDescent="0.3">
      <c r="A122" s="13" t="s">
        <v>1731</v>
      </c>
      <c r="B122" s="13" t="s">
        <v>1732</v>
      </c>
      <c r="C122" s="13" t="s">
        <v>69</v>
      </c>
      <c r="D122" s="21" t="s">
        <v>69</v>
      </c>
      <c r="E122" s="13" t="s">
        <v>69</v>
      </c>
      <c r="F122" s="13" t="s">
        <v>69</v>
      </c>
      <c r="G122" s="13" t="s">
        <v>69</v>
      </c>
      <c r="H122" s="13" t="s">
        <v>69</v>
      </c>
      <c r="I122" s="19" t="s">
        <v>69</v>
      </c>
      <c r="J122" s="20" t="s">
        <v>69</v>
      </c>
      <c r="K122" s="19" t="s">
        <v>69</v>
      </c>
      <c r="L122" s="19" t="s">
        <v>69</v>
      </c>
      <c r="M122" s="19" t="s">
        <v>69</v>
      </c>
      <c r="N122" s="19" t="s">
        <v>69</v>
      </c>
      <c r="O122" s="19" t="s">
        <v>69</v>
      </c>
      <c r="P122" s="19" t="s">
        <v>69</v>
      </c>
      <c r="Q122" s="19">
        <v>0</v>
      </c>
      <c r="R122" s="18" t="s">
        <v>156</v>
      </c>
      <c r="S122" s="13" t="s">
        <v>1733</v>
      </c>
      <c r="T122" s="13" t="s">
        <v>1734</v>
      </c>
      <c r="U122" s="13" t="s">
        <v>1735</v>
      </c>
      <c r="V122" s="13" t="s">
        <v>69</v>
      </c>
      <c r="W122" s="13" t="s">
        <v>1736</v>
      </c>
      <c r="X122" s="13" t="s">
        <v>1625</v>
      </c>
      <c r="Y122" s="13" t="s">
        <v>1737</v>
      </c>
      <c r="Z122" s="13" t="s">
        <v>69</v>
      </c>
      <c r="AA122" s="13" t="s">
        <v>1627</v>
      </c>
      <c r="AB122" s="13" t="s">
        <v>69</v>
      </c>
      <c r="AC122" s="18" t="s">
        <v>1738</v>
      </c>
      <c r="AD122" s="13" t="s">
        <v>530</v>
      </c>
      <c r="AE122" s="18" t="s">
        <v>1736</v>
      </c>
      <c r="AF122" s="18" t="s">
        <v>1739</v>
      </c>
      <c r="AG122" s="13" t="s">
        <v>1740</v>
      </c>
      <c r="AH122" s="13" t="s">
        <v>78</v>
      </c>
      <c r="AI122" s="13" t="s">
        <v>132</v>
      </c>
      <c r="AJ122" s="13" t="s">
        <v>69</v>
      </c>
      <c r="AK122" s="13" t="s">
        <v>1741</v>
      </c>
      <c r="AL122" s="13" t="s">
        <v>1742</v>
      </c>
      <c r="AM122" s="13" t="s">
        <v>1743</v>
      </c>
      <c r="AN122" s="13" t="s">
        <v>533</v>
      </c>
      <c r="AO122" s="13" t="s">
        <v>69</v>
      </c>
      <c r="AP122" s="13" t="s">
        <v>1731</v>
      </c>
      <c r="AQ122" s="13" t="s">
        <v>1744</v>
      </c>
      <c r="AR122" s="13" t="s">
        <v>85</v>
      </c>
      <c r="AS122" s="13" t="s">
        <v>211</v>
      </c>
      <c r="AT122" s="13" t="s">
        <v>212</v>
      </c>
      <c r="AU122" s="13" t="s">
        <v>1745</v>
      </c>
      <c r="AV122" s="13" t="s">
        <v>214</v>
      </c>
      <c r="AW122" s="13" t="s">
        <v>1746</v>
      </c>
      <c r="AX122" s="13" t="s">
        <v>69</v>
      </c>
      <c r="AY122" s="13" t="s">
        <v>90</v>
      </c>
      <c r="AZ122" s="17" t="s">
        <v>69</v>
      </c>
      <c r="BA122" s="13" t="s">
        <v>91</v>
      </c>
      <c r="BB122" s="13" t="s">
        <v>92</v>
      </c>
      <c r="BC122" s="13" t="s">
        <v>93</v>
      </c>
      <c r="BD122" s="11" t="str">
        <f>HYPERLINK("http://www.juwelier-wagner.at","www.juwelier-wagner.at")</f>
        <v>www.juwelier-wagner.at</v>
      </c>
      <c r="BE122" s="11" t="str">
        <f>HYPERLINK("http://www.linkedin.com/company/juwelier-wagner-gesellschaft-m.b.h.","http://www.linkedin.com/company/juwelier-wagner-gesellschaft-m.b.h.")</f>
        <v>http://www.linkedin.com/company/juwelier-wagner-gesellschaft-m.b.h.</v>
      </c>
      <c r="BF122" s="16">
        <v>61</v>
      </c>
      <c r="BG122" s="13" t="s">
        <v>1747</v>
      </c>
      <c r="BH122" s="13" t="s">
        <v>69</v>
      </c>
      <c r="BI122" s="13" t="s">
        <v>69</v>
      </c>
      <c r="BJ122" s="15">
        <v>1917</v>
      </c>
      <c r="BK122" s="13" t="s">
        <v>69</v>
      </c>
      <c r="BL122" s="14">
        <v>45038</v>
      </c>
      <c r="BM122" s="13" t="s">
        <v>69</v>
      </c>
      <c r="BN122" s="13" t="s">
        <v>69</v>
      </c>
      <c r="BO122" s="11" t="str">
        <f>HYPERLINK("https://my.pitchbook.com?c=471367-09","View Company Online")</f>
        <v>View Company Online</v>
      </c>
    </row>
    <row r="123" spans="1:67" x14ac:dyDescent="0.3">
      <c r="A123" s="3" t="s">
        <v>1748</v>
      </c>
      <c r="B123" s="3" t="s">
        <v>1749</v>
      </c>
      <c r="C123" s="3" t="s">
        <v>69</v>
      </c>
      <c r="D123" s="5" t="s">
        <v>69</v>
      </c>
      <c r="E123" s="3" t="s">
        <v>69</v>
      </c>
      <c r="F123" s="3" t="s">
        <v>69</v>
      </c>
      <c r="G123" s="3" t="s">
        <v>69</v>
      </c>
      <c r="H123" s="3" t="s">
        <v>69</v>
      </c>
      <c r="I123" s="4" t="s">
        <v>69</v>
      </c>
      <c r="J123" s="7" t="s">
        <v>69</v>
      </c>
      <c r="K123" s="4" t="s">
        <v>69</v>
      </c>
      <c r="L123" s="4" t="s">
        <v>69</v>
      </c>
      <c r="M123" s="4" t="s">
        <v>69</v>
      </c>
      <c r="N123" s="4" t="s">
        <v>69</v>
      </c>
      <c r="O123" s="4" t="s">
        <v>69</v>
      </c>
      <c r="P123" s="4" t="s">
        <v>69</v>
      </c>
      <c r="Q123" s="4" t="s">
        <v>69</v>
      </c>
      <c r="R123" s="6" t="s">
        <v>69</v>
      </c>
      <c r="S123" s="3" t="s">
        <v>69</v>
      </c>
      <c r="T123" s="3" t="s">
        <v>69</v>
      </c>
      <c r="U123" s="3" t="s">
        <v>69</v>
      </c>
      <c r="V123" s="3" t="s">
        <v>69</v>
      </c>
      <c r="W123" s="3" t="s">
        <v>69</v>
      </c>
      <c r="X123" s="3" t="s">
        <v>1750</v>
      </c>
      <c r="Y123" s="3" t="s">
        <v>1751</v>
      </c>
      <c r="Z123" s="3" t="s">
        <v>69</v>
      </c>
      <c r="AA123" s="3" t="s">
        <v>1752</v>
      </c>
      <c r="AB123" s="3" t="s">
        <v>1753</v>
      </c>
      <c r="AC123" s="6" t="s">
        <v>1754</v>
      </c>
      <c r="AD123" s="3" t="s">
        <v>204</v>
      </c>
      <c r="AE123" s="6" t="s">
        <v>1755</v>
      </c>
      <c r="AF123" s="6" t="s">
        <v>69</v>
      </c>
      <c r="AG123" s="3" t="s">
        <v>1756</v>
      </c>
      <c r="AH123" s="3" t="s">
        <v>78</v>
      </c>
      <c r="AI123" s="3" t="s">
        <v>79</v>
      </c>
      <c r="AJ123" s="3" t="s">
        <v>69</v>
      </c>
      <c r="AK123" s="3" t="s">
        <v>69</v>
      </c>
      <c r="AL123" s="3" t="s">
        <v>69</v>
      </c>
      <c r="AM123" s="3" t="s">
        <v>69</v>
      </c>
      <c r="AN123" s="3" t="s">
        <v>69</v>
      </c>
      <c r="AO123" s="3" t="s">
        <v>69</v>
      </c>
      <c r="AP123" s="3" t="s">
        <v>1748</v>
      </c>
      <c r="AQ123" s="3" t="s">
        <v>1757</v>
      </c>
      <c r="AR123" s="3" t="s">
        <v>85</v>
      </c>
      <c r="AS123" s="3" t="s">
        <v>271</v>
      </c>
      <c r="AT123" s="3" t="s">
        <v>272</v>
      </c>
      <c r="AU123" s="3" t="s">
        <v>1537</v>
      </c>
      <c r="AV123" s="3" t="s">
        <v>69</v>
      </c>
      <c r="AW123" s="3" t="s">
        <v>69</v>
      </c>
      <c r="AX123" s="3" t="s">
        <v>69</v>
      </c>
      <c r="AY123" s="3" t="s">
        <v>90</v>
      </c>
      <c r="AZ123" s="8" t="s">
        <v>69</v>
      </c>
      <c r="BA123" s="3" t="s">
        <v>69</v>
      </c>
      <c r="BB123" s="3" t="s">
        <v>92</v>
      </c>
      <c r="BC123" s="3" t="s">
        <v>93</v>
      </c>
      <c r="BD123" s="12" t="str">
        <f>HYPERLINK("http://k-tuin.com","k-tuin.com")</f>
        <v>k-tuin.com</v>
      </c>
      <c r="BE123" s="12" t="str">
        <f>HYPERLINK("http://www.linkedin.com/company/k-tuin-sistemas-inform-ticos","http://www.linkedin.com/company/k-tuin-sistemas-inform-ticos")</f>
        <v>http://www.linkedin.com/company/k-tuin-sistemas-inform-ticos</v>
      </c>
      <c r="BF123" s="9">
        <v>256</v>
      </c>
      <c r="BG123" s="3" t="s">
        <v>1758</v>
      </c>
      <c r="BH123" s="3" t="s">
        <v>69</v>
      </c>
      <c r="BI123" s="3" t="s">
        <v>69</v>
      </c>
      <c r="BJ123" s="10" t="s">
        <v>69</v>
      </c>
      <c r="BK123" s="3" t="s">
        <v>69</v>
      </c>
      <c r="BL123" s="1">
        <v>45318</v>
      </c>
      <c r="BM123" s="3" t="s">
        <v>69</v>
      </c>
      <c r="BN123" s="3" t="s">
        <v>69</v>
      </c>
      <c r="BO123" s="12" t="str">
        <f>HYPERLINK("https://my.pitchbook.com?c=565616-71","View Company Online")</f>
        <v>View Company Online</v>
      </c>
    </row>
    <row r="124" spans="1:67" x14ac:dyDescent="0.3">
      <c r="A124" s="13" t="s">
        <v>1759</v>
      </c>
      <c r="B124" s="13" t="s">
        <v>1760</v>
      </c>
      <c r="C124" s="13" t="s">
        <v>69</v>
      </c>
      <c r="D124" s="21" t="s">
        <v>69</v>
      </c>
      <c r="E124" s="13" t="s">
        <v>69</v>
      </c>
      <c r="F124" s="13" t="s">
        <v>69</v>
      </c>
      <c r="G124" s="13" t="s">
        <v>69</v>
      </c>
      <c r="H124" s="13" t="s">
        <v>69</v>
      </c>
      <c r="I124" s="19" t="s">
        <v>69</v>
      </c>
      <c r="J124" s="20" t="s">
        <v>69</v>
      </c>
      <c r="K124" s="19" t="s">
        <v>69</v>
      </c>
      <c r="L124" s="19" t="s">
        <v>69</v>
      </c>
      <c r="M124" s="19" t="s">
        <v>69</v>
      </c>
      <c r="N124" s="19" t="s">
        <v>69</v>
      </c>
      <c r="O124" s="19" t="s">
        <v>69</v>
      </c>
      <c r="P124" s="19" t="s">
        <v>69</v>
      </c>
      <c r="Q124" s="19" t="s">
        <v>69</v>
      </c>
      <c r="R124" s="18" t="s">
        <v>69</v>
      </c>
      <c r="S124" s="13" t="s">
        <v>1761</v>
      </c>
      <c r="T124" s="13" t="s">
        <v>1762</v>
      </c>
      <c r="U124" s="13" t="s">
        <v>1763</v>
      </c>
      <c r="V124" s="13" t="s">
        <v>69</v>
      </c>
      <c r="W124" s="13" t="s">
        <v>1764</v>
      </c>
      <c r="X124" s="13" t="s">
        <v>1765</v>
      </c>
      <c r="Y124" s="13" t="s">
        <v>1766</v>
      </c>
      <c r="Z124" s="13" t="s">
        <v>69</v>
      </c>
      <c r="AA124" s="13" t="s">
        <v>1767</v>
      </c>
      <c r="AB124" s="13" t="s">
        <v>69</v>
      </c>
      <c r="AC124" s="18" t="s">
        <v>69</v>
      </c>
      <c r="AD124" s="13" t="s">
        <v>1768</v>
      </c>
      <c r="AE124" s="18" t="s">
        <v>1764</v>
      </c>
      <c r="AF124" s="18" t="s">
        <v>1769</v>
      </c>
      <c r="AG124" s="13" t="s">
        <v>1770</v>
      </c>
      <c r="AH124" s="13" t="s">
        <v>446</v>
      </c>
      <c r="AI124" s="13" t="s">
        <v>1771</v>
      </c>
      <c r="AJ124" s="13" t="s">
        <v>69</v>
      </c>
      <c r="AK124" s="13" t="s">
        <v>1772</v>
      </c>
      <c r="AL124" s="13" t="s">
        <v>1773</v>
      </c>
      <c r="AM124" s="13" t="s">
        <v>69</v>
      </c>
      <c r="AN124" s="13" t="s">
        <v>69</v>
      </c>
      <c r="AO124" s="13" t="s">
        <v>69</v>
      </c>
      <c r="AP124" s="13" t="s">
        <v>1759</v>
      </c>
      <c r="AQ124" s="13" t="s">
        <v>1774</v>
      </c>
      <c r="AR124" s="13" t="s">
        <v>85</v>
      </c>
      <c r="AS124" s="13" t="s">
        <v>86</v>
      </c>
      <c r="AT124" s="13" t="s">
        <v>87</v>
      </c>
      <c r="AU124" s="13" t="s">
        <v>112</v>
      </c>
      <c r="AV124" s="13" t="s">
        <v>69</v>
      </c>
      <c r="AW124" s="13" t="s">
        <v>69</v>
      </c>
      <c r="AX124" s="13" t="s">
        <v>69</v>
      </c>
      <c r="AY124" s="13" t="s">
        <v>90</v>
      </c>
      <c r="AZ124" s="17" t="s">
        <v>69</v>
      </c>
      <c r="BA124" s="13" t="s">
        <v>91</v>
      </c>
      <c r="BB124" s="13" t="s">
        <v>92</v>
      </c>
      <c r="BC124" s="13" t="s">
        <v>93</v>
      </c>
      <c r="BD124" s="11" t="str">
        <f>HYPERLINK("http://www.kallolgroup.com","www.kallolgroup.com")</f>
        <v>www.kallolgroup.com</v>
      </c>
      <c r="BE124" s="11" t="str">
        <f>HYPERLINK("http://www.linkedin.com/company/kallol-group-of-companies","http://www.linkedin.com/company/kallol-group-of-companies")</f>
        <v>http://www.linkedin.com/company/kallol-group-of-companies</v>
      </c>
      <c r="BF124" s="16">
        <v>174</v>
      </c>
      <c r="BG124" s="13" t="s">
        <v>1775</v>
      </c>
      <c r="BH124" s="13" t="s">
        <v>69</v>
      </c>
      <c r="BI124" s="13" t="s">
        <v>69</v>
      </c>
      <c r="BJ124" s="15">
        <v>1972</v>
      </c>
      <c r="BK124" s="13" t="s">
        <v>69</v>
      </c>
      <c r="BL124" s="14">
        <v>45054</v>
      </c>
      <c r="BM124" s="13" t="s">
        <v>69</v>
      </c>
      <c r="BN124" s="13" t="s">
        <v>69</v>
      </c>
      <c r="BO124" s="11" t="str">
        <f>HYPERLINK("https://my.pitchbook.com?c=497646-46","View Company Online")</f>
        <v>View Company Online</v>
      </c>
    </row>
    <row r="125" spans="1:67" x14ac:dyDescent="0.3">
      <c r="A125" s="3" t="s">
        <v>1776</v>
      </c>
      <c r="B125" s="3" t="s">
        <v>1777</v>
      </c>
      <c r="C125" s="3" t="s">
        <v>69</v>
      </c>
      <c r="D125" s="5" t="s">
        <v>69</v>
      </c>
      <c r="E125" s="3" t="s">
        <v>69</v>
      </c>
      <c r="F125" s="3" t="s">
        <v>69</v>
      </c>
      <c r="G125" s="3" t="s">
        <v>69</v>
      </c>
      <c r="H125" s="3" t="s">
        <v>69</v>
      </c>
      <c r="I125" s="4" t="s">
        <v>69</v>
      </c>
      <c r="J125" s="7" t="s">
        <v>69</v>
      </c>
      <c r="K125" s="4" t="s">
        <v>69</v>
      </c>
      <c r="L125" s="4" t="s">
        <v>69</v>
      </c>
      <c r="M125" s="4" t="s">
        <v>69</v>
      </c>
      <c r="N125" s="4" t="s">
        <v>69</v>
      </c>
      <c r="O125" s="4" t="s">
        <v>69</v>
      </c>
      <c r="P125" s="4" t="s">
        <v>69</v>
      </c>
      <c r="Q125" s="4" t="s">
        <v>69</v>
      </c>
      <c r="R125" s="6" t="s">
        <v>69</v>
      </c>
      <c r="S125" s="3" t="s">
        <v>69</v>
      </c>
      <c r="T125" s="3" t="s">
        <v>69</v>
      </c>
      <c r="U125" s="3" t="s">
        <v>69</v>
      </c>
      <c r="V125" s="3" t="s">
        <v>69</v>
      </c>
      <c r="W125" s="3" t="s">
        <v>69</v>
      </c>
      <c r="X125" s="3" t="s">
        <v>1778</v>
      </c>
      <c r="Y125" s="3" t="s">
        <v>69</v>
      </c>
      <c r="Z125" s="3" t="s">
        <v>69</v>
      </c>
      <c r="AA125" s="3" t="s">
        <v>1779</v>
      </c>
      <c r="AB125" s="3" t="s">
        <v>69</v>
      </c>
      <c r="AC125" s="6" t="s">
        <v>69</v>
      </c>
      <c r="AD125" s="3" t="s">
        <v>1780</v>
      </c>
      <c r="AE125" s="6" t="s">
        <v>69</v>
      </c>
      <c r="AF125" s="6" t="s">
        <v>69</v>
      </c>
      <c r="AG125" s="3" t="s">
        <v>69</v>
      </c>
      <c r="AH125" s="3" t="s">
        <v>446</v>
      </c>
      <c r="AI125" s="3" t="s">
        <v>1771</v>
      </c>
      <c r="AJ125" s="3" t="s">
        <v>69</v>
      </c>
      <c r="AK125" s="3" t="s">
        <v>69</v>
      </c>
      <c r="AL125" s="3" t="s">
        <v>69</v>
      </c>
      <c r="AM125" s="3" t="s">
        <v>69</v>
      </c>
      <c r="AN125" s="3" t="s">
        <v>69</v>
      </c>
      <c r="AO125" s="3" t="s">
        <v>69</v>
      </c>
      <c r="AP125" s="3" t="s">
        <v>1776</v>
      </c>
      <c r="AQ125" s="3" t="s">
        <v>1781</v>
      </c>
      <c r="AR125" s="3" t="s">
        <v>85</v>
      </c>
      <c r="AS125" s="3" t="s">
        <v>86</v>
      </c>
      <c r="AT125" s="3" t="s">
        <v>87</v>
      </c>
      <c r="AU125" s="3" t="s">
        <v>112</v>
      </c>
      <c r="AV125" s="3" t="s">
        <v>69</v>
      </c>
      <c r="AW125" s="3" t="s">
        <v>69</v>
      </c>
      <c r="AX125" s="3" t="s">
        <v>69</v>
      </c>
      <c r="AY125" s="3" t="s">
        <v>90</v>
      </c>
      <c r="AZ125" s="8" t="s">
        <v>69</v>
      </c>
      <c r="BA125" s="3" t="s">
        <v>69</v>
      </c>
      <c r="BB125" s="3" t="s">
        <v>92</v>
      </c>
      <c r="BC125" s="3" t="s">
        <v>93</v>
      </c>
      <c r="BD125" s="12" t="str">
        <f>HYPERLINK("http://kapoorwatch.com","kapoorwatch.com")</f>
        <v>kapoorwatch.com</v>
      </c>
      <c r="BE125" s="12" t="str">
        <f>HYPERLINK("http://www.linkedin.com/company/kapoor-watch-co","http://www.linkedin.com/company/kapoor-watch-co")</f>
        <v>http://www.linkedin.com/company/kapoor-watch-co</v>
      </c>
      <c r="BF125" s="9">
        <v>67</v>
      </c>
      <c r="BG125" s="3" t="s">
        <v>1782</v>
      </c>
      <c r="BH125" s="3" t="s">
        <v>69</v>
      </c>
      <c r="BI125" s="3" t="s">
        <v>69</v>
      </c>
      <c r="BJ125" s="10">
        <v>1967</v>
      </c>
      <c r="BK125" s="3" t="s">
        <v>69</v>
      </c>
      <c r="BL125" s="1">
        <v>45301</v>
      </c>
      <c r="BM125" s="3" t="s">
        <v>69</v>
      </c>
      <c r="BN125" s="3" t="s">
        <v>69</v>
      </c>
      <c r="BO125" s="12" t="str">
        <f>HYPERLINK("https://my.pitchbook.com?c=549679-69","View Company Online")</f>
        <v>View Company Online</v>
      </c>
    </row>
    <row r="126" spans="1:67" x14ac:dyDescent="0.3">
      <c r="A126" s="13" t="s">
        <v>1783</v>
      </c>
      <c r="B126" s="13" t="s">
        <v>1784</v>
      </c>
      <c r="C126" s="13" t="s">
        <v>69</v>
      </c>
      <c r="D126" s="21" t="s">
        <v>69</v>
      </c>
      <c r="E126" s="13" t="s">
        <v>69</v>
      </c>
      <c r="F126" s="13" t="s">
        <v>69</v>
      </c>
      <c r="G126" s="13" t="s">
        <v>69</v>
      </c>
      <c r="H126" s="13" t="s">
        <v>69</v>
      </c>
      <c r="I126" s="19" t="s">
        <v>69</v>
      </c>
      <c r="J126" s="20" t="s">
        <v>69</v>
      </c>
      <c r="K126" s="19" t="s">
        <v>69</v>
      </c>
      <c r="L126" s="19" t="s">
        <v>69</v>
      </c>
      <c r="M126" s="19" t="s">
        <v>69</v>
      </c>
      <c r="N126" s="19" t="s">
        <v>69</v>
      </c>
      <c r="O126" s="19" t="s">
        <v>69</v>
      </c>
      <c r="P126" s="19" t="s">
        <v>69</v>
      </c>
      <c r="Q126" s="19" t="s">
        <v>69</v>
      </c>
      <c r="R126" s="18" t="s">
        <v>69</v>
      </c>
      <c r="S126" s="13" t="s">
        <v>1785</v>
      </c>
      <c r="T126" s="13" t="s">
        <v>1786</v>
      </c>
      <c r="U126" s="13" t="s">
        <v>720</v>
      </c>
      <c r="V126" s="13" t="s">
        <v>69</v>
      </c>
      <c r="W126" s="13" t="s">
        <v>69</v>
      </c>
      <c r="X126" s="13" t="s">
        <v>1050</v>
      </c>
      <c r="Y126" s="13" t="s">
        <v>1787</v>
      </c>
      <c r="Z126" s="13" t="s">
        <v>1788</v>
      </c>
      <c r="AA126" s="13" t="s">
        <v>1052</v>
      </c>
      <c r="AB126" s="13" t="s">
        <v>1053</v>
      </c>
      <c r="AC126" s="18" t="s">
        <v>1789</v>
      </c>
      <c r="AD126" s="13" t="s">
        <v>378</v>
      </c>
      <c r="AE126" s="18" t="s">
        <v>69</v>
      </c>
      <c r="AF126" s="18" t="s">
        <v>69</v>
      </c>
      <c r="AG126" s="13" t="s">
        <v>69</v>
      </c>
      <c r="AH126" s="13" t="s">
        <v>379</v>
      </c>
      <c r="AI126" s="13" t="s">
        <v>380</v>
      </c>
      <c r="AJ126" s="13" t="s">
        <v>69</v>
      </c>
      <c r="AK126" s="13" t="s">
        <v>69</v>
      </c>
      <c r="AL126" s="13" t="s">
        <v>1790</v>
      </c>
      <c r="AM126" s="13" t="s">
        <v>69</v>
      </c>
      <c r="AN126" s="13" t="s">
        <v>69</v>
      </c>
      <c r="AO126" s="13" t="s">
        <v>69</v>
      </c>
      <c r="AP126" s="13" t="s">
        <v>1783</v>
      </c>
      <c r="AQ126" s="13" t="s">
        <v>1791</v>
      </c>
      <c r="AR126" s="13" t="s">
        <v>422</v>
      </c>
      <c r="AS126" s="13" t="s">
        <v>423</v>
      </c>
      <c r="AT126" s="13" t="s">
        <v>1792</v>
      </c>
      <c r="AU126" s="13" t="s">
        <v>1793</v>
      </c>
      <c r="AV126" s="13" t="s">
        <v>1794</v>
      </c>
      <c r="AW126" s="13" t="s">
        <v>1795</v>
      </c>
      <c r="AX126" s="13" t="s">
        <v>69</v>
      </c>
      <c r="AY126" s="13" t="s">
        <v>90</v>
      </c>
      <c r="AZ126" s="17" t="s">
        <v>69</v>
      </c>
      <c r="BA126" s="13" t="s">
        <v>91</v>
      </c>
      <c r="BB126" s="13" t="s">
        <v>92</v>
      </c>
      <c r="BC126" s="13" t="s">
        <v>93</v>
      </c>
      <c r="BD126" s="11" t="str">
        <f>HYPERLINK("http://kashkick.com","kashkick.com")</f>
        <v>kashkick.com</v>
      </c>
      <c r="BE126" s="11" t="str">
        <f>HYPERLINK("http://www.linkedin.com/company/besitoscorp","http://www.linkedin.com/company/besitoscorp")</f>
        <v>http://www.linkedin.com/company/besitoscorp</v>
      </c>
      <c r="BF126" s="16">
        <v>64</v>
      </c>
      <c r="BG126" s="13" t="s">
        <v>1796</v>
      </c>
      <c r="BH126" s="13" t="s">
        <v>69</v>
      </c>
      <c r="BI126" s="13" t="s">
        <v>69</v>
      </c>
      <c r="BJ126" s="15">
        <v>2015</v>
      </c>
      <c r="BK126" s="13" t="s">
        <v>69</v>
      </c>
      <c r="BL126" s="14">
        <v>45755</v>
      </c>
      <c r="BM126" s="13" t="s">
        <v>69</v>
      </c>
      <c r="BN126" s="13" t="s">
        <v>69</v>
      </c>
      <c r="BO126" s="11" t="str">
        <f>HYPERLINK("https://my.pitchbook.com?c=539188-57","View Company Online")</f>
        <v>View Company Online</v>
      </c>
    </row>
    <row r="127" spans="1:67" x14ac:dyDescent="0.3">
      <c r="A127" s="3" t="s">
        <v>1797</v>
      </c>
      <c r="B127" s="3" t="s">
        <v>1798</v>
      </c>
      <c r="C127" s="3" t="s">
        <v>69</v>
      </c>
      <c r="D127" s="5" t="s">
        <v>69</v>
      </c>
      <c r="E127" s="3" t="s">
        <v>69</v>
      </c>
      <c r="F127" s="3" t="s">
        <v>69</v>
      </c>
      <c r="G127" s="3" t="s">
        <v>69</v>
      </c>
      <c r="H127" s="3" t="s">
        <v>69</v>
      </c>
      <c r="I127" s="4" t="s">
        <v>69</v>
      </c>
      <c r="J127" s="7" t="s">
        <v>69</v>
      </c>
      <c r="K127" s="4" t="s">
        <v>69</v>
      </c>
      <c r="L127" s="4" t="s">
        <v>69</v>
      </c>
      <c r="M127" s="4" t="s">
        <v>69</v>
      </c>
      <c r="N127" s="4" t="s">
        <v>69</v>
      </c>
      <c r="O127" s="4" t="s">
        <v>69</v>
      </c>
      <c r="P127" s="4" t="s">
        <v>69</v>
      </c>
      <c r="Q127" s="4" t="s">
        <v>69</v>
      </c>
      <c r="R127" s="6" t="s">
        <v>69</v>
      </c>
      <c r="S127" s="3" t="s">
        <v>69</v>
      </c>
      <c r="T127" s="3" t="s">
        <v>69</v>
      </c>
      <c r="U127" s="3" t="s">
        <v>69</v>
      </c>
      <c r="V127" s="3" t="s">
        <v>69</v>
      </c>
      <c r="W127" s="3" t="s">
        <v>69</v>
      </c>
      <c r="X127" s="3" t="s">
        <v>992</v>
      </c>
      <c r="Y127" s="3" t="s">
        <v>69</v>
      </c>
      <c r="Z127" s="3" t="s">
        <v>69</v>
      </c>
      <c r="AA127" s="3" t="s">
        <v>993</v>
      </c>
      <c r="AB127" s="3" t="s">
        <v>994</v>
      </c>
      <c r="AC127" s="6" t="s">
        <v>1799</v>
      </c>
      <c r="AD127" s="3" t="s">
        <v>378</v>
      </c>
      <c r="AE127" s="6" t="s">
        <v>69</v>
      </c>
      <c r="AF127" s="6" t="s">
        <v>69</v>
      </c>
      <c r="AG127" s="3" t="s">
        <v>69</v>
      </c>
      <c r="AH127" s="3" t="s">
        <v>379</v>
      </c>
      <c r="AI127" s="3" t="s">
        <v>380</v>
      </c>
      <c r="AJ127" s="3" t="s">
        <v>69</v>
      </c>
      <c r="AK127" s="3" t="s">
        <v>69</v>
      </c>
      <c r="AL127" s="3" t="s">
        <v>69</v>
      </c>
      <c r="AM127" s="3" t="s">
        <v>69</v>
      </c>
      <c r="AN127" s="3" t="s">
        <v>69</v>
      </c>
      <c r="AO127" s="3" t="s">
        <v>69</v>
      </c>
      <c r="AP127" s="3" t="s">
        <v>1797</v>
      </c>
      <c r="AQ127" s="3" t="s">
        <v>1800</v>
      </c>
      <c r="AR127" s="3" t="s">
        <v>185</v>
      </c>
      <c r="AS127" s="3" t="s">
        <v>348</v>
      </c>
      <c r="AT127" s="3" t="s">
        <v>1241</v>
      </c>
      <c r="AU127" s="3" t="s">
        <v>1242</v>
      </c>
      <c r="AV127" s="3" t="s">
        <v>69</v>
      </c>
      <c r="AW127" s="3" t="s">
        <v>1801</v>
      </c>
      <c r="AX127" s="3" t="s">
        <v>69</v>
      </c>
      <c r="AY127" s="3" t="s">
        <v>90</v>
      </c>
      <c r="AZ127" s="8" t="s">
        <v>69</v>
      </c>
      <c r="BA127" s="3" t="s">
        <v>91</v>
      </c>
      <c r="BB127" s="3" t="s">
        <v>92</v>
      </c>
      <c r="BC127" s="3" t="s">
        <v>93</v>
      </c>
      <c r="BD127" s="12" t="str">
        <f>HYPERLINK("http://kgun9.com","kgun9.com")</f>
        <v>kgun9.com</v>
      </c>
      <c r="BE127" s="12" t="str">
        <f>HYPERLINK("http://www.linkedin.com/company/kgun","http://www.linkedin.com/company/kgun")</f>
        <v>http://www.linkedin.com/company/kgun</v>
      </c>
      <c r="BF127" s="9">
        <v>74</v>
      </c>
      <c r="BG127" s="3" t="s">
        <v>1802</v>
      </c>
      <c r="BH127" s="3" t="s">
        <v>69</v>
      </c>
      <c r="BI127" s="3" t="s">
        <v>69</v>
      </c>
      <c r="BJ127" s="10">
        <v>2022</v>
      </c>
      <c r="BK127" s="3" t="s">
        <v>69</v>
      </c>
      <c r="BL127" s="1">
        <v>45162</v>
      </c>
      <c r="BM127" s="3" t="s">
        <v>69</v>
      </c>
      <c r="BN127" s="3" t="s">
        <v>69</v>
      </c>
      <c r="BO127" s="12" t="str">
        <f>HYPERLINK("https://my.pitchbook.com?c=258711-31","View Company Online")</f>
        <v>View Company Online</v>
      </c>
    </row>
    <row r="128" spans="1:67" x14ac:dyDescent="0.3">
      <c r="A128" s="13" t="s">
        <v>1803</v>
      </c>
      <c r="B128" s="13" t="s">
        <v>1804</v>
      </c>
      <c r="C128" s="13" t="s">
        <v>69</v>
      </c>
      <c r="D128" s="21" t="s">
        <v>69</v>
      </c>
      <c r="E128" s="13" t="s">
        <v>69</v>
      </c>
      <c r="F128" s="13" t="s">
        <v>69</v>
      </c>
      <c r="G128" s="13" t="s">
        <v>69</v>
      </c>
      <c r="H128" s="13" t="s">
        <v>69</v>
      </c>
      <c r="I128" s="19" t="s">
        <v>69</v>
      </c>
      <c r="J128" s="20" t="s">
        <v>69</v>
      </c>
      <c r="K128" s="19" t="s">
        <v>69</v>
      </c>
      <c r="L128" s="19" t="s">
        <v>69</v>
      </c>
      <c r="M128" s="19" t="s">
        <v>69</v>
      </c>
      <c r="N128" s="19" t="s">
        <v>69</v>
      </c>
      <c r="O128" s="19" t="s">
        <v>69</v>
      </c>
      <c r="P128" s="19" t="s">
        <v>69</v>
      </c>
      <c r="Q128" s="19" t="s">
        <v>69</v>
      </c>
      <c r="R128" s="18" t="s">
        <v>69</v>
      </c>
      <c r="S128" s="13" t="s">
        <v>69</v>
      </c>
      <c r="T128" s="13" t="s">
        <v>69</v>
      </c>
      <c r="U128" s="13" t="s">
        <v>69</v>
      </c>
      <c r="V128" s="13" t="s">
        <v>69</v>
      </c>
      <c r="W128" s="13" t="s">
        <v>69</v>
      </c>
      <c r="X128" s="13" t="s">
        <v>1805</v>
      </c>
      <c r="Y128" s="13" t="s">
        <v>1806</v>
      </c>
      <c r="Z128" s="13" t="s">
        <v>69</v>
      </c>
      <c r="AA128" s="13" t="s">
        <v>1807</v>
      </c>
      <c r="AB128" s="13" t="s">
        <v>417</v>
      </c>
      <c r="AC128" s="18" t="s">
        <v>1808</v>
      </c>
      <c r="AD128" s="13" t="s">
        <v>378</v>
      </c>
      <c r="AE128" s="18" t="s">
        <v>69</v>
      </c>
      <c r="AF128" s="18" t="s">
        <v>69</v>
      </c>
      <c r="AG128" s="13" t="s">
        <v>69</v>
      </c>
      <c r="AH128" s="13" t="s">
        <v>379</v>
      </c>
      <c r="AI128" s="13" t="s">
        <v>380</v>
      </c>
      <c r="AJ128" s="13" t="s">
        <v>69</v>
      </c>
      <c r="AK128" s="13" t="s">
        <v>69</v>
      </c>
      <c r="AL128" s="13" t="s">
        <v>69</v>
      </c>
      <c r="AM128" s="13" t="s">
        <v>69</v>
      </c>
      <c r="AN128" s="13" t="s">
        <v>69</v>
      </c>
      <c r="AO128" s="13" t="s">
        <v>69</v>
      </c>
      <c r="AP128" s="13" t="s">
        <v>1803</v>
      </c>
      <c r="AQ128" s="13" t="s">
        <v>1809</v>
      </c>
      <c r="AR128" s="13" t="s">
        <v>85</v>
      </c>
      <c r="AS128" s="13" t="s">
        <v>1058</v>
      </c>
      <c r="AT128" s="13" t="s">
        <v>1810</v>
      </c>
      <c r="AU128" s="13" t="s">
        <v>1811</v>
      </c>
      <c r="AV128" s="13" t="s">
        <v>69</v>
      </c>
      <c r="AW128" s="13" t="s">
        <v>69</v>
      </c>
      <c r="AX128" s="13" t="s">
        <v>69</v>
      </c>
      <c r="AY128" s="13" t="s">
        <v>90</v>
      </c>
      <c r="AZ128" s="17" t="s">
        <v>69</v>
      </c>
      <c r="BA128" s="13" t="s">
        <v>69</v>
      </c>
      <c r="BB128" s="13" t="s">
        <v>92</v>
      </c>
      <c r="BC128" s="13" t="s">
        <v>93</v>
      </c>
      <c r="BD128" s="11" t="str">
        <f>HYPERLINK("http://lakeviewbaptist.org","lakeviewbaptist.org")</f>
        <v>lakeviewbaptist.org</v>
      </c>
      <c r="BE128" s="11" t="str">
        <f>HYPERLINK("http://www.linkedin.com/company/lakeview-baptist-church","http://www.linkedin.com/company/lakeview-baptist-church")</f>
        <v>http://www.linkedin.com/company/lakeview-baptist-church</v>
      </c>
      <c r="BF128" s="16">
        <v>74</v>
      </c>
      <c r="BG128" s="13" t="s">
        <v>1812</v>
      </c>
      <c r="BH128" s="13" t="s">
        <v>69</v>
      </c>
      <c r="BI128" s="13" t="s">
        <v>69</v>
      </c>
      <c r="BJ128" s="15" t="s">
        <v>69</v>
      </c>
      <c r="BK128" s="13" t="s">
        <v>69</v>
      </c>
      <c r="BL128" s="14">
        <v>45547</v>
      </c>
      <c r="BM128" s="13" t="s">
        <v>69</v>
      </c>
      <c r="BN128" s="13" t="s">
        <v>69</v>
      </c>
      <c r="BO128" s="11" t="str">
        <f>HYPERLINK("https://my.pitchbook.com?c=657570-70","View Company Online")</f>
        <v>View Company Online</v>
      </c>
    </row>
    <row r="129" spans="1:67" x14ac:dyDescent="0.3">
      <c r="A129" s="3" t="s">
        <v>1813</v>
      </c>
      <c r="B129" s="3" t="s">
        <v>1814</v>
      </c>
      <c r="C129" s="3" t="s">
        <v>69</v>
      </c>
      <c r="D129" s="5" t="s">
        <v>69</v>
      </c>
      <c r="E129" s="3" t="s">
        <v>69</v>
      </c>
      <c r="F129" s="3" t="s">
        <v>69</v>
      </c>
      <c r="G129" s="3" t="s">
        <v>69</v>
      </c>
      <c r="H129" s="3" t="s">
        <v>69</v>
      </c>
      <c r="I129" s="4" t="s">
        <v>69</v>
      </c>
      <c r="J129" s="7" t="s">
        <v>69</v>
      </c>
      <c r="K129" s="4" t="s">
        <v>69</v>
      </c>
      <c r="L129" s="4" t="s">
        <v>69</v>
      </c>
      <c r="M129" s="4" t="s">
        <v>69</v>
      </c>
      <c r="N129" s="4" t="s">
        <v>69</v>
      </c>
      <c r="O129" s="4" t="s">
        <v>69</v>
      </c>
      <c r="P129" s="4" t="s">
        <v>69</v>
      </c>
      <c r="Q129" s="4" t="s">
        <v>69</v>
      </c>
      <c r="R129" s="6" t="s">
        <v>69</v>
      </c>
      <c r="S129" s="3" t="s">
        <v>1815</v>
      </c>
      <c r="T129" s="3" t="s">
        <v>1816</v>
      </c>
      <c r="U129" s="3" t="s">
        <v>1565</v>
      </c>
      <c r="V129" s="3" t="s">
        <v>69</v>
      </c>
      <c r="W129" s="3" t="s">
        <v>69</v>
      </c>
      <c r="X129" s="3" t="s">
        <v>1817</v>
      </c>
      <c r="Y129" s="3" t="s">
        <v>69</v>
      </c>
      <c r="Z129" s="3" t="s">
        <v>69</v>
      </c>
      <c r="AA129" s="3" t="s">
        <v>1818</v>
      </c>
      <c r="AB129" s="3" t="s">
        <v>1819</v>
      </c>
      <c r="AC129" s="6" t="s">
        <v>69</v>
      </c>
      <c r="AD129" s="3" t="s">
        <v>378</v>
      </c>
      <c r="AE129" s="6" t="s">
        <v>69</v>
      </c>
      <c r="AF129" s="6" t="s">
        <v>69</v>
      </c>
      <c r="AG129" s="3" t="s">
        <v>69</v>
      </c>
      <c r="AH129" s="3" t="s">
        <v>379</v>
      </c>
      <c r="AI129" s="3" t="s">
        <v>380</v>
      </c>
      <c r="AJ129" s="3" t="s">
        <v>69</v>
      </c>
      <c r="AK129" s="3" t="s">
        <v>69</v>
      </c>
      <c r="AL129" s="3" t="s">
        <v>69</v>
      </c>
      <c r="AM129" s="3" t="s">
        <v>69</v>
      </c>
      <c r="AN129" s="3" t="s">
        <v>69</v>
      </c>
      <c r="AO129" s="3" t="s">
        <v>69</v>
      </c>
      <c r="AP129" s="3" t="s">
        <v>1813</v>
      </c>
      <c r="AQ129" s="3" t="s">
        <v>1820</v>
      </c>
      <c r="AR129" s="3" t="s">
        <v>85</v>
      </c>
      <c r="AS129" s="3" t="s">
        <v>86</v>
      </c>
      <c r="AT129" s="3" t="s">
        <v>168</v>
      </c>
      <c r="AU129" s="3" t="s">
        <v>169</v>
      </c>
      <c r="AV129" s="3" t="s">
        <v>69</v>
      </c>
      <c r="AW129" s="3" t="s">
        <v>1821</v>
      </c>
      <c r="AX129" s="3" t="s">
        <v>69</v>
      </c>
      <c r="AY129" s="3" t="s">
        <v>90</v>
      </c>
      <c r="AZ129" s="8" t="s">
        <v>69</v>
      </c>
      <c r="BA129" s="3" t="s">
        <v>69</v>
      </c>
      <c r="BB129" s="3" t="s">
        <v>92</v>
      </c>
      <c r="BC129" s="3" t="s">
        <v>93</v>
      </c>
      <c r="BD129" s="12" t="str">
        <f>HYPERLINK("http://lmfj.com","lmfj.com")</f>
        <v>lmfj.com</v>
      </c>
      <c r="BE129" s="12" t="str">
        <f>HYPERLINK("http://www.linkedin.com/company/lee-michaels-fine-jewelry","http://www.linkedin.com/company/lee-michaels-fine-jewelry")</f>
        <v>http://www.linkedin.com/company/lee-michaels-fine-jewelry</v>
      </c>
      <c r="BF129" s="9">
        <v>144</v>
      </c>
      <c r="BG129" s="3" t="s">
        <v>1822</v>
      </c>
      <c r="BH129" s="3" t="s">
        <v>69</v>
      </c>
      <c r="BI129" s="3" t="s">
        <v>69</v>
      </c>
      <c r="BJ129" s="10">
        <v>1978</v>
      </c>
      <c r="BK129" s="3" t="s">
        <v>69</v>
      </c>
      <c r="BL129" s="1">
        <v>45633</v>
      </c>
      <c r="BM129" s="3" t="s">
        <v>69</v>
      </c>
      <c r="BN129" s="3" t="s">
        <v>69</v>
      </c>
      <c r="BO129" s="12" t="str">
        <f>HYPERLINK("https://my.pitchbook.com?c=130900-87","View Company Online")</f>
        <v>View Company Online</v>
      </c>
    </row>
    <row r="130" spans="1:67" x14ac:dyDescent="0.3">
      <c r="A130" s="13" t="s">
        <v>1823</v>
      </c>
      <c r="B130" s="13" t="s">
        <v>1824</v>
      </c>
      <c r="C130" s="13" t="s">
        <v>69</v>
      </c>
      <c r="D130" s="21" t="s">
        <v>69</v>
      </c>
      <c r="E130" s="13" t="s">
        <v>69</v>
      </c>
      <c r="F130" s="13" t="s">
        <v>69</v>
      </c>
      <c r="G130" s="13" t="s">
        <v>69</v>
      </c>
      <c r="H130" s="13" t="s">
        <v>69</v>
      </c>
      <c r="I130" s="19" t="s">
        <v>69</v>
      </c>
      <c r="J130" s="20" t="s">
        <v>69</v>
      </c>
      <c r="K130" s="19" t="s">
        <v>69</v>
      </c>
      <c r="L130" s="19" t="s">
        <v>69</v>
      </c>
      <c r="M130" s="19" t="s">
        <v>69</v>
      </c>
      <c r="N130" s="19" t="s">
        <v>69</v>
      </c>
      <c r="O130" s="19" t="s">
        <v>69</v>
      </c>
      <c r="P130" s="19" t="s">
        <v>69</v>
      </c>
      <c r="Q130" s="19" t="s">
        <v>69</v>
      </c>
      <c r="R130" s="18" t="s">
        <v>69</v>
      </c>
      <c r="S130" s="13" t="s">
        <v>69</v>
      </c>
      <c r="T130" s="13" t="s">
        <v>69</v>
      </c>
      <c r="U130" s="13" t="s">
        <v>69</v>
      </c>
      <c r="V130" s="13" t="s">
        <v>69</v>
      </c>
      <c r="W130" s="13" t="s">
        <v>69</v>
      </c>
      <c r="X130" s="13" t="s">
        <v>1825</v>
      </c>
      <c r="Y130" s="13" t="s">
        <v>1826</v>
      </c>
      <c r="Z130" s="13" t="s">
        <v>1827</v>
      </c>
      <c r="AA130" s="13" t="s">
        <v>1828</v>
      </c>
      <c r="AB130" s="13" t="s">
        <v>1829</v>
      </c>
      <c r="AC130" s="18" t="s">
        <v>1830</v>
      </c>
      <c r="AD130" s="13" t="s">
        <v>378</v>
      </c>
      <c r="AE130" s="18" t="s">
        <v>1831</v>
      </c>
      <c r="AF130" s="18" t="s">
        <v>1832</v>
      </c>
      <c r="AG130" s="13" t="s">
        <v>1833</v>
      </c>
      <c r="AH130" s="13" t="s">
        <v>379</v>
      </c>
      <c r="AI130" s="13" t="s">
        <v>380</v>
      </c>
      <c r="AJ130" s="13" t="s">
        <v>69</v>
      </c>
      <c r="AK130" s="13" t="s">
        <v>69</v>
      </c>
      <c r="AL130" s="13" t="s">
        <v>1834</v>
      </c>
      <c r="AM130" s="13" t="s">
        <v>69</v>
      </c>
      <c r="AN130" s="13" t="s">
        <v>69</v>
      </c>
      <c r="AO130" s="13" t="s">
        <v>1835</v>
      </c>
      <c r="AP130" s="13" t="s">
        <v>1823</v>
      </c>
      <c r="AQ130" s="13" t="s">
        <v>1836</v>
      </c>
      <c r="AR130" s="13" t="s">
        <v>85</v>
      </c>
      <c r="AS130" s="13" t="s">
        <v>1058</v>
      </c>
      <c r="AT130" s="13" t="s">
        <v>1837</v>
      </c>
      <c r="AU130" s="13" t="s">
        <v>1838</v>
      </c>
      <c r="AV130" s="13" t="s">
        <v>69</v>
      </c>
      <c r="AW130" s="13" t="s">
        <v>1839</v>
      </c>
      <c r="AX130" s="13" t="s">
        <v>69</v>
      </c>
      <c r="AY130" s="13" t="s">
        <v>90</v>
      </c>
      <c r="AZ130" s="17" t="s">
        <v>69</v>
      </c>
      <c r="BA130" s="13" t="s">
        <v>91</v>
      </c>
      <c r="BB130" s="13" t="s">
        <v>92</v>
      </c>
      <c r="BC130" s="13" t="s">
        <v>93</v>
      </c>
      <c r="BD130" s="11" t="str">
        <f>HYPERLINK("http://www.legaladvantage.net","www.legaladvantage.net")</f>
        <v>www.legaladvantage.net</v>
      </c>
      <c r="BE130" s="11" t="str">
        <f>HYPERLINK("http://www.linkedin.com/company/legal-advantage-llc","http://www.linkedin.com/company/legal-advantage-llc")</f>
        <v>http://www.linkedin.com/company/legal-advantage-llc</v>
      </c>
      <c r="BF130" s="16">
        <v>66</v>
      </c>
      <c r="BG130" s="13" t="s">
        <v>1840</v>
      </c>
      <c r="BH130" s="13" t="s">
        <v>69</v>
      </c>
      <c r="BI130" s="13" t="s">
        <v>69</v>
      </c>
      <c r="BJ130" s="15">
        <v>2001</v>
      </c>
      <c r="BK130" s="13" t="s">
        <v>69</v>
      </c>
      <c r="BL130" s="14">
        <v>44495</v>
      </c>
      <c r="BM130" s="13" t="s">
        <v>69</v>
      </c>
      <c r="BN130" s="13" t="s">
        <v>69</v>
      </c>
      <c r="BO130" s="11" t="str">
        <f>HYPERLINK("https://my.pitchbook.com?c=120346-48","View Company Online")</f>
        <v>View Company Online</v>
      </c>
    </row>
    <row r="131" spans="1:67" x14ac:dyDescent="0.3">
      <c r="A131" s="3" t="s">
        <v>1841</v>
      </c>
      <c r="B131" s="3" t="s">
        <v>1842</v>
      </c>
      <c r="C131" s="3" t="s">
        <v>69</v>
      </c>
      <c r="D131" s="5" t="s">
        <v>69</v>
      </c>
      <c r="E131" s="3" t="s">
        <v>69</v>
      </c>
      <c r="F131" s="3" t="s">
        <v>69</v>
      </c>
      <c r="G131" s="3" t="s">
        <v>69</v>
      </c>
      <c r="H131" s="3" t="s">
        <v>69</v>
      </c>
      <c r="I131" s="4" t="s">
        <v>69</v>
      </c>
      <c r="J131" s="7" t="s">
        <v>69</v>
      </c>
      <c r="K131" s="4" t="s">
        <v>69</v>
      </c>
      <c r="L131" s="4" t="s">
        <v>69</v>
      </c>
      <c r="M131" s="4" t="s">
        <v>69</v>
      </c>
      <c r="N131" s="4" t="s">
        <v>69</v>
      </c>
      <c r="O131" s="4" t="s">
        <v>69</v>
      </c>
      <c r="P131" s="4" t="s">
        <v>69</v>
      </c>
      <c r="Q131" s="4" t="s">
        <v>69</v>
      </c>
      <c r="R131" s="6" t="s">
        <v>69</v>
      </c>
      <c r="S131" s="3" t="s">
        <v>69</v>
      </c>
      <c r="T131" s="3" t="s">
        <v>69</v>
      </c>
      <c r="U131" s="3" t="s">
        <v>69</v>
      </c>
      <c r="V131" s="3" t="s">
        <v>69</v>
      </c>
      <c r="W131" s="3" t="s">
        <v>69</v>
      </c>
      <c r="X131" s="3" t="s">
        <v>1843</v>
      </c>
      <c r="Y131" s="3" t="s">
        <v>1844</v>
      </c>
      <c r="Z131" s="3" t="s">
        <v>69</v>
      </c>
      <c r="AA131" s="3" t="s">
        <v>1845</v>
      </c>
      <c r="AB131" s="3" t="s">
        <v>1846</v>
      </c>
      <c r="AC131" s="6" t="s">
        <v>1847</v>
      </c>
      <c r="AD131" s="3" t="s">
        <v>1848</v>
      </c>
      <c r="AE131" s="6" t="s">
        <v>69</v>
      </c>
      <c r="AF131" s="6" t="s">
        <v>69</v>
      </c>
      <c r="AG131" s="3" t="s">
        <v>69</v>
      </c>
      <c r="AH131" s="3" t="s">
        <v>446</v>
      </c>
      <c r="AI131" s="3" t="s">
        <v>1771</v>
      </c>
      <c r="AJ131" s="3" t="s">
        <v>69</v>
      </c>
      <c r="AK131" s="3" t="s">
        <v>69</v>
      </c>
      <c r="AL131" s="3" t="s">
        <v>69</v>
      </c>
      <c r="AM131" s="3" t="s">
        <v>69</v>
      </c>
      <c r="AN131" s="3" t="s">
        <v>69</v>
      </c>
      <c r="AO131" s="3" t="s">
        <v>69</v>
      </c>
      <c r="AP131" s="3" t="s">
        <v>1841</v>
      </c>
      <c r="AQ131" s="3" t="s">
        <v>1849</v>
      </c>
      <c r="AR131" s="3" t="s">
        <v>422</v>
      </c>
      <c r="AS131" s="3" t="s">
        <v>841</v>
      </c>
      <c r="AT131" s="3" t="s">
        <v>842</v>
      </c>
      <c r="AU131" s="3" t="s">
        <v>1850</v>
      </c>
      <c r="AV131" s="3" t="s">
        <v>69</v>
      </c>
      <c r="AW131" s="3" t="s">
        <v>1851</v>
      </c>
      <c r="AX131" s="3" t="s">
        <v>69</v>
      </c>
      <c r="AY131" s="3" t="s">
        <v>90</v>
      </c>
      <c r="AZ131" s="8" t="s">
        <v>69</v>
      </c>
      <c r="BA131" s="3" t="s">
        <v>69</v>
      </c>
      <c r="BB131" s="3" t="s">
        <v>92</v>
      </c>
      <c r="BC131" s="3" t="s">
        <v>93</v>
      </c>
      <c r="BD131" s="12" t="str">
        <f>HYPERLINK("http://limton.com.pk","limton.com.pk")</f>
        <v>limton.com.pk</v>
      </c>
      <c r="BE131" s="12" t="str">
        <f>HYPERLINK("http://www.linkedin.com/company/limton-group-of-companies","http://www.linkedin.com/company/limton-group-of-companies")</f>
        <v>http://www.linkedin.com/company/limton-group-of-companies</v>
      </c>
      <c r="BF131" s="9">
        <v>144</v>
      </c>
      <c r="BG131" s="3" t="s">
        <v>1852</v>
      </c>
      <c r="BH131" s="3" t="s">
        <v>69</v>
      </c>
      <c r="BI131" s="3" t="s">
        <v>69</v>
      </c>
      <c r="BJ131" s="10">
        <v>1901</v>
      </c>
      <c r="BK131" s="3" t="s">
        <v>69</v>
      </c>
      <c r="BL131" s="1">
        <v>45318</v>
      </c>
      <c r="BM131" s="3" t="s">
        <v>69</v>
      </c>
      <c r="BN131" s="3" t="s">
        <v>69</v>
      </c>
      <c r="BO131" s="12" t="str">
        <f>HYPERLINK("https://my.pitchbook.com?c=566243-11","View Company Online")</f>
        <v>View Company Online</v>
      </c>
    </row>
    <row r="132" spans="1:67" x14ac:dyDescent="0.3">
      <c r="A132" s="13" t="s">
        <v>1853</v>
      </c>
      <c r="B132" s="13" t="s">
        <v>1854</v>
      </c>
      <c r="C132" s="13" t="s">
        <v>69</v>
      </c>
      <c r="D132" s="21" t="s">
        <v>69</v>
      </c>
      <c r="E132" s="13" t="s">
        <v>69</v>
      </c>
      <c r="F132" s="13" t="s">
        <v>69</v>
      </c>
      <c r="G132" s="13" t="s">
        <v>69</v>
      </c>
      <c r="H132" s="13" t="s">
        <v>69</v>
      </c>
      <c r="I132" s="19" t="s">
        <v>69</v>
      </c>
      <c r="J132" s="20" t="s">
        <v>69</v>
      </c>
      <c r="K132" s="19" t="s">
        <v>69</v>
      </c>
      <c r="L132" s="19" t="s">
        <v>69</v>
      </c>
      <c r="M132" s="19" t="s">
        <v>69</v>
      </c>
      <c r="N132" s="19" t="s">
        <v>69</v>
      </c>
      <c r="O132" s="19" t="s">
        <v>69</v>
      </c>
      <c r="P132" s="19" t="s">
        <v>69</v>
      </c>
      <c r="Q132" s="19" t="s">
        <v>69</v>
      </c>
      <c r="R132" s="18" t="s">
        <v>69</v>
      </c>
      <c r="S132" s="13" t="s">
        <v>1855</v>
      </c>
      <c r="T132" s="13" t="s">
        <v>1856</v>
      </c>
      <c r="U132" s="13" t="s">
        <v>1857</v>
      </c>
      <c r="V132" s="13" t="s">
        <v>1858</v>
      </c>
      <c r="W132" s="13" t="s">
        <v>1859</v>
      </c>
      <c r="X132" s="13" t="s">
        <v>1860</v>
      </c>
      <c r="Y132" s="13" t="s">
        <v>1861</v>
      </c>
      <c r="Z132" s="13" t="s">
        <v>1862</v>
      </c>
      <c r="AA132" s="13" t="s">
        <v>1863</v>
      </c>
      <c r="AB132" s="13" t="s">
        <v>69</v>
      </c>
      <c r="AC132" s="18" t="s">
        <v>69</v>
      </c>
      <c r="AD132" s="13" t="s">
        <v>1864</v>
      </c>
      <c r="AE132" s="18" t="s">
        <v>1859</v>
      </c>
      <c r="AF132" s="18" t="s">
        <v>69</v>
      </c>
      <c r="AG132" s="13" t="s">
        <v>69</v>
      </c>
      <c r="AH132" s="13" t="s">
        <v>446</v>
      </c>
      <c r="AI132" s="13" t="s">
        <v>447</v>
      </c>
      <c r="AJ132" s="13" t="s">
        <v>69</v>
      </c>
      <c r="AK132" s="13" t="s">
        <v>69</v>
      </c>
      <c r="AL132" s="13" t="s">
        <v>1865</v>
      </c>
      <c r="AM132" s="13" t="s">
        <v>69</v>
      </c>
      <c r="AN132" s="13" t="s">
        <v>69</v>
      </c>
      <c r="AO132" s="13" t="s">
        <v>69</v>
      </c>
      <c r="AP132" s="13" t="s">
        <v>1853</v>
      </c>
      <c r="AQ132" s="13" t="s">
        <v>1866</v>
      </c>
      <c r="AR132" s="13" t="s">
        <v>185</v>
      </c>
      <c r="AS132" s="13" t="s">
        <v>348</v>
      </c>
      <c r="AT132" s="13" t="s">
        <v>1867</v>
      </c>
      <c r="AU132" s="13" t="s">
        <v>1868</v>
      </c>
      <c r="AV132" s="13" t="s">
        <v>1869</v>
      </c>
      <c r="AW132" s="13" t="s">
        <v>1870</v>
      </c>
      <c r="AX132" s="13" t="s">
        <v>1871</v>
      </c>
      <c r="AY132" s="13" t="s">
        <v>90</v>
      </c>
      <c r="AZ132" s="17" t="s">
        <v>69</v>
      </c>
      <c r="BA132" s="13" t="s">
        <v>91</v>
      </c>
      <c r="BB132" s="13" t="s">
        <v>92</v>
      </c>
      <c r="BC132" s="13" t="s">
        <v>93</v>
      </c>
      <c r="BD132" s="11" t="str">
        <f>HYPERLINK("http://www.linwear.com","www.linwear.com")</f>
        <v>www.linwear.com</v>
      </c>
      <c r="BE132" s="11" t="str">
        <f>HYPERLINK("http://www.linkedin.com/company/shenzhen-linwear-innovation-technology-co-ltd","http://www.linkedin.com/company/shenzhen-linwear-innovation-technology-co-ltd")</f>
        <v>http://www.linkedin.com/company/shenzhen-linwear-innovation-technology-co-ltd</v>
      </c>
      <c r="BF132" s="16">
        <v>500</v>
      </c>
      <c r="BG132" s="13" t="s">
        <v>1872</v>
      </c>
      <c r="BH132" s="13" t="s">
        <v>69</v>
      </c>
      <c r="BI132" s="13" t="s">
        <v>69</v>
      </c>
      <c r="BJ132" s="15">
        <v>2006</v>
      </c>
      <c r="BK132" s="13" t="s">
        <v>69</v>
      </c>
      <c r="BL132" s="14">
        <v>45646</v>
      </c>
      <c r="BM132" s="13" t="s">
        <v>69</v>
      </c>
      <c r="BN132" s="13" t="s">
        <v>69</v>
      </c>
      <c r="BO132" s="11" t="str">
        <f>HYPERLINK("https://my.pitchbook.com?c=707848-03","View Company Online")</f>
        <v>View Company Online</v>
      </c>
    </row>
    <row r="133" spans="1:67" x14ac:dyDescent="0.3">
      <c r="A133" s="3" t="s">
        <v>1873</v>
      </c>
      <c r="B133" s="3" t="s">
        <v>1874</v>
      </c>
      <c r="C133" s="3" t="s">
        <v>69</v>
      </c>
      <c r="D133" s="5" t="s">
        <v>69</v>
      </c>
      <c r="E133" s="3" t="s">
        <v>69</v>
      </c>
      <c r="F133" s="3" t="s">
        <v>69</v>
      </c>
      <c r="G133" s="3" t="s">
        <v>69</v>
      </c>
      <c r="H133" s="3" t="s">
        <v>69</v>
      </c>
      <c r="I133" s="4" t="s">
        <v>69</v>
      </c>
      <c r="J133" s="7" t="s">
        <v>69</v>
      </c>
      <c r="K133" s="4" t="s">
        <v>69</v>
      </c>
      <c r="L133" s="4" t="s">
        <v>69</v>
      </c>
      <c r="M133" s="4" t="s">
        <v>69</v>
      </c>
      <c r="N133" s="4" t="s">
        <v>69</v>
      </c>
      <c r="O133" s="4" t="s">
        <v>69</v>
      </c>
      <c r="P133" s="4" t="s">
        <v>69</v>
      </c>
      <c r="Q133" s="4" t="s">
        <v>69</v>
      </c>
      <c r="R133" s="6" t="s">
        <v>69</v>
      </c>
      <c r="S133" s="3" t="s">
        <v>69</v>
      </c>
      <c r="T133" s="3" t="s">
        <v>69</v>
      </c>
      <c r="U133" s="3" t="s">
        <v>69</v>
      </c>
      <c r="V133" s="3" t="s">
        <v>69</v>
      </c>
      <c r="W133" s="3" t="s">
        <v>69</v>
      </c>
      <c r="X133" s="3" t="s">
        <v>1875</v>
      </c>
      <c r="Y133" s="3" t="s">
        <v>1876</v>
      </c>
      <c r="Z133" s="3" t="s">
        <v>69</v>
      </c>
      <c r="AA133" s="3" t="s">
        <v>1877</v>
      </c>
      <c r="AB133" s="3" t="s">
        <v>1878</v>
      </c>
      <c r="AC133" s="6" t="s">
        <v>1879</v>
      </c>
      <c r="AD133" s="3" t="s">
        <v>1780</v>
      </c>
      <c r="AE133" s="6" t="s">
        <v>69</v>
      </c>
      <c r="AF133" s="6" t="s">
        <v>69</v>
      </c>
      <c r="AG133" s="3" t="s">
        <v>69</v>
      </c>
      <c r="AH133" s="3" t="s">
        <v>446</v>
      </c>
      <c r="AI133" s="3" t="s">
        <v>1771</v>
      </c>
      <c r="AJ133" s="3" t="s">
        <v>69</v>
      </c>
      <c r="AK133" s="3" t="s">
        <v>69</v>
      </c>
      <c r="AL133" s="3" t="s">
        <v>1880</v>
      </c>
      <c r="AM133" s="3" t="s">
        <v>69</v>
      </c>
      <c r="AN133" s="3" t="s">
        <v>69</v>
      </c>
      <c r="AO133" s="3" t="s">
        <v>69</v>
      </c>
      <c r="AP133" s="3" t="s">
        <v>1873</v>
      </c>
      <c r="AQ133" s="3" t="s">
        <v>1881</v>
      </c>
      <c r="AR133" s="3" t="s">
        <v>422</v>
      </c>
      <c r="AS133" s="3" t="s">
        <v>841</v>
      </c>
      <c r="AT133" s="3" t="s">
        <v>842</v>
      </c>
      <c r="AU133" s="3" t="s">
        <v>1850</v>
      </c>
      <c r="AV133" s="3" t="s">
        <v>69</v>
      </c>
      <c r="AW133" s="3" t="s">
        <v>69</v>
      </c>
      <c r="AX133" s="3" t="s">
        <v>69</v>
      </c>
      <c r="AY133" s="3" t="s">
        <v>90</v>
      </c>
      <c r="AZ133" s="8" t="s">
        <v>69</v>
      </c>
      <c r="BA133" s="3" t="s">
        <v>69</v>
      </c>
      <c r="BB133" s="3" t="s">
        <v>92</v>
      </c>
      <c r="BC133" s="3" t="s">
        <v>93</v>
      </c>
      <c r="BD133" s="12" t="str">
        <f>HYPERLINK("http://litmusit.com","litmusit.com")</f>
        <v>litmusit.com</v>
      </c>
      <c r="BE133" s="12" t="str">
        <f>HYPERLINK("http://www.linkedin.com/company/litmus-information-systems-llp","http://www.linkedin.com/company/litmus-information-systems-llp")</f>
        <v>http://www.linkedin.com/company/litmus-information-systems-llp</v>
      </c>
      <c r="BF133" s="9">
        <v>76</v>
      </c>
      <c r="BG133" s="3" t="s">
        <v>1882</v>
      </c>
      <c r="BH133" s="3" t="s">
        <v>69</v>
      </c>
      <c r="BI133" s="3" t="s">
        <v>69</v>
      </c>
      <c r="BJ133" s="10">
        <v>2015</v>
      </c>
      <c r="BK133" s="3" t="s">
        <v>69</v>
      </c>
      <c r="BL133" s="1">
        <v>45548</v>
      </c>
      <c r="BM133" s="3" t="s">
        <v>69</v>
      </c>
      <c r="BN133" s="3" t="s">
        <v>69</v>
      </c>
      <c r="BO133" s="12" t="str">
        <f>HYPERLINK("https://my.pitchbook.com?c=658488-52","View Company Online")</f>
        <v>View Company Online</v>
      </c>
    </row>
    <row r="134" spans="1:67" x14ac:dyDescent="0.3">
      <c r="A134" s="13" t="s">
        <v>1883</v>
      </c>
      <c r="B134" s="13" t="s">
        <v>1884</v>
      </c>
      <c r="C134" s="13" t="s">
        <v>69</v>
      </c>
      <c r="D134" s="21" t="s">
        <v>69</v>
      </c>
      <c r="E134" s="13" t="s">
        <v>69</v>
      </c>
      <c r="F134" s="13" t="s">
        <v>69</v>
      </c>
      <c r="G134" s="13" t="s">
        <v>69</v>
      </c>
      <c r="H134" s="13" t="s">
        <v>69</v>
      </c>
      <c r="I134" s="19" t="s">
        <v>69</v>
      </c>
      <c r="J134" s="20" t="s">
        <v>69</v>
      </c>
      <c r="K134" s="19" t="s">
        <v>69</v>
      </c>
      <c r="L134" s="19" t="s">
        <v>69</v>
      </c>
      <c r="M134" s="19" t="s">
        <v>69</v>
      </c>
      <c r="N134" s="19" t="s">
        <v>69</v>
      </c>
      <c r="O134" s="19" t="s">
        <v>69</v>
      </c>
      <c r="P134" s="19" t="s">
        <v>69</v>
      </c>
      <c r="Q134" s="19" t="s">
        <v>69</v>
      </c>
      <c r="R134" s="18" t="s">
        <v>69</v>
      </c>
      <c r="S134" s="13" t="s">
        <v>1885</v>
      </c>
      <c r="T134" s="13" t="s">
        <v>1886</v>
      </c>
      <c r="U134" s="13" t="s">
        <v>257</v>
      </c>
      <c r="V134" s="13" t="s">
        <v>1887</v>
      </c>
      <c r="W134" s="13" t="s">
        <v>1888</v>
      </c>
      <c r="X134" s="13" t="s">
        <v>1099</v>
      </c>
      <c r="Y134" s="13" t="s">
        <v>1889</v>
      </c>
      <c r="Z134" s="13" t="s">
        <v>69</v>
      </c>
      <c r="AA134" s="13" t="s">
        <v>1102</v>
      </c>
      <c r="AB134" s="13" t="s">
        <v>1102</v>
      </c>
      <c r="AC134" s="18" t="s">
        <v>1890</v>
      </c>
      <c r="AD134" s="13" t="s">
        <v>378</v>
      </c>
      <c r="AE134" s="18" t="s">
        <v>1888</v>
      </c>
      <c r="AF134" s="18" t="s">
        <v>1891</v>
      </c>
      <c r="AG134" s="13" t="s">
        <v>1892</v>
      </c>
      <c r="AH134" s="13" t="s">
        <v>379</v>
      </c>
      <c r="AI134" s="13" t="s">
        <v>380</v>
      </c>
      <c r="AJ134" s="13" t="s">
        <v>69</v>
      </c>
      <c r="AK134" s="13" t="s">
        <v>69</v>
      </c>
      <c r="AL134" s="13" t="s">
        <v>1893</v>
      </c>
      <c r="AM134" s="13" t="s">
        <v>69</v>
      </c>
      <c r="AN134" s="13" t="s">
        <v>69</v>
      </c>
      <c r="AO134" s="13" t="s">
        <v>1894</v>
      </c>
      <c r="AP134" s="13" t="s">
        <v>1883</v>
      </c>
      <c r="AQ134" s="13" t="s">
        <v>1895</v>
      </c>
      <c r="AR134" s="13" t="s">
        <v>85</v>
      </c>
      <c r="AS134" s="13" t="s">
        <v>86</v>
      </c>
      <c r="AT134" s="13" t="s">
        <v>87</v>
      </c>
      <c r="AU134" s="13" t="s">
        <v>1896</v>
      </c>
      <c r="AV134" s="13" t="s">
        <v>69</v>
      </c>
      <c r="AW134" s="13" t="s">
        <v>1897</v>
      </c>
      <c r="AX134" s="13" t="s">
        <v>69</v>
      </c>
      <c r="AY134" s="13" t="s">
        <v>90</v>
      </c>
      <c r="AZ134" s="17" t="s">
        <v>69</v>
      </c>
      <c r="BA134" s="13" t="s">
        <v>91</v>
      </c>
      <c r="BB134" s="13" t="s">
        <v>92</v>
      </c>
      <c r="BC134" s="13" t="s">
        <v>93</v>
      </c>
      <c r="BD134" s="11" t="str">
        <f>HYPERLINK("http://www.londonjewelers.com","www.londonjewelers.com")</f>
        <v>www.londonjewelers.com</v>
      </c>
      <c r="BE134" s="11" t="str">
        <f>HYPERLINK("http://www.linkedin.com/company/london-jewelers","http://www.linkedin.com/company/london-jewelers")</f>
        <v>http://www.linkedin.com/company/london-jewelers</v>
      </c>
      <c r="BF134" s="16">
        <v>270</v>
      </c>
      <c r="BG134" s="13" t="s">
        <v>1898</v>
      </c>
      <c r="BH134" s="13" t="s">
        <v>69</v>
      </c>
      <c r="BI134" s="13" t="s">
        <v>69</v>
      </c>
      <c r="BJ134" s="15">
        <v>1926</v>
      </c>
      <c r="BK134" s="13" t="s">
        <v>69</v>
      </c>
      <c r="BL134" s="14">
        <v>45581</v>
      </c>
      <c r="BM134" s="13" t="s">
        <v>69</v>
      </c>
      <c r="BN134" s="13" t="s">
        <v>69</v>
      </c>
      <c r="BO134" s="11" t="str">
        <f>HYPERLINK("https://my.pitchbook.com?c=129677-95","View Company Online")</f>
        <v>View Company Online</v>
      </c>
    </row>
    <row r="135" spans="1:67" x14ac:dyDescent="0.3">
      <c r="A135" s="3" t="s">
        <v>1899</v>
      </c>
      <c r="B135" s="3" t="s">
        <v>1900</v>
      </c>
      <c r="C135" s="3" t="s">
        <v>69</v>
      </c>
      <c r="D135" s="5" t="s">
        <v>69</v>
      </c>
      <c r="E135" s="3" t="s">
        <v>69</v>
      </c>
      <c r="F135" s="3" t="s">
        <v>69</v>
      </c>
      <c r="G135" s="3" t="s">
        <v>69</v>
      </c>
      <c r="H135" s="3" t="s">
        <v>69</v>
      </c>
      <c r="I135" s="4" t="s">
        <v>69</v>
      </c>
      <c r="J135" s="7" t="s">
        <v>69</v>
      </c>
      <c r="K135" s="4" t="s">
        <v>69</v>
      </c>
      <c r="L135" s="4" t="s">
        <v>69</v>
      </c>
      <c r="M135" s="4" t="s">
        <v>69</v>
      </c>
      <c r="N135" s="4" t="s">
        <v>69</v>
      </c>
      <c r="O135" s="4" t="s">
        <v>69</v>
      </c>
      <c r="P135" s="4" t="s">
        <v>69</v>
      </c>
      <c r="Q135" s="4" t="s">
        <v>69</v>
      </c>
      <c r="R135" s="6" t="s">
        <v>69</v>
      </c>
      <c r="S135" s="3" t="s">
        <v>69</v>
      </c>
      <c r="T135" s="3" t="s">
        <v>69</v>
      </c>
      <c r="U135" s="3" t="s">
        <v>69</v>
      </c>
      <c r="V135" s="3" t="s">
        <v>69</v>
      </c>
      <c r="W135" s="3" t="s">
        <v>69</v>
      </c>
      <c r="X135" s="3" t="s">
        <v>1901</v>
      </c>
      <c r="Y135" s="3" t="s">
        <v>69</v>
      </c>
      <c r="Z135" s="3" t="s">
        <v>69</v>
      </c>
      <c r="AA135" s="3" t="s">
        <v>1902</v>
      </c>
      <c r="AB135" s="3" t="s">
        <v>376</v>
      </c>
      <c r="AC135" s="6" t="s">
        <v>1903</v>
      </c>
      <c r="AD135" s="3" t="s">
        <v>378</v>
      </c>
      <c r="AE135" s="6" t="s">
        <v>1904</v>
      </c>
      <c r="AF135" s="6" t="s">
        <v>69</v>
      </c>
      <c r="AG135" s="3" t="s">
        <v>69</v>
      </c>
      <c r="AH135" s="3" t="s">
        <v>379</v>
      </c>
      <c r="AI135" s="3" t="s">
        <v>380</v>
      </c>
      <c r="AJ135" s="3" t="s">
        <v>69</v>
      </c>
      <c r="AK135" s="3" t="s">
        <v>69</v>
      </c>
      <c r="AL135" s="3" t="s">
        <v>69</v>
      </c>
      <c r="AM135" s="3" t="s">
        <v>69</v>
      </c>
      <c r="AN135" s="3" t="s">
        <v>69</v>
      </c>
      <c r="AO135" s="3" t="s">
        <v>69</v>
      </c>
      <c r="AP135" s="3" t="s">
        <v>1899</v>
      </c>
      <c r="AQ135" s="3" t="s">
        <v>1905</v>
      </c>
      <c r="AR135" s="3" t="s">
        <v>185</v>
      </c>
      <c r="AS135" s="3" t="s">
        <v>348</v>
      </c>
      <c r="AT135" s="3" t="s">
        <v>349</v>
      </c>
      <c r="AU135" s="3" t="s">
        <v>1906</v>
      </c>
      <c r="AV135" s="3" t="s">
        <v>69</v>
      </c>
      <c r="AW135" s="3" t="s">
        <v>1907</v>
      </c>
      <c r="AX135" s="3" t="s">
        <v>69</v>
      </c>
      <c r="AY135" s="3" t="s">
        <v>90</v>
      </c>
      <c r="AZ135" s="8" t="s">
        <v>69</v>
      </c>
      <c r="BA135" s="3" t="s">
        <v>69</v>
      </c>
      <c r="BB135" s="3" t="s">
        <v>92</v>
      </c>
      <c r="BC135" s="3" t="s">
        <v>521</v>
      </c>
      <c r="BD135" s="12" t="str">
        <f>HYPERLINK("http://lbgreen.com","lbgreen.com")</f>
        <v>lbgreen.com</v>
      </c>
      <c r="BE135" s="12" t="str">
        <f>HYPERLINK("http://www.linkedin.com/company/lux-bond-and-green","http://www.linkedin.com/company/lux-bond-and-green")</f>
        <v>http://www.linkedin.com/company/lux-bond-and-green</v>
      </c>
      <c r="BF135" s="9">
        <v>84</v>
      </c>
      <c r="BG135" s="3" t="s">
        <v>1908</v>
      </c>
      <c r="BH135" s="3" t="s">
        <v>69</v>
      </c>
      <c r="BI135" s="3" t="s">
        <v>69</v>
      </c>
      <c r="BJ135" s="10">
        <v>2019</v>
      </c>
      <c r="BK135" s="3" t="s">
        <v>69</v>
      </c>
      <c r="BL135" s="1">
        <v>45633</v>
      </c>
      <c r="BM135" s="3" t="s">
        <v>69</v>
      </c>
      <c r="BN135" s="3" t="s">
        <v>69</v>
      </c>
      <c r="BO135" s="12" t="str">
        <f>HYPERLINK("https://my.pitchbook.com?c=129920-41","View Company Online")</f>
        <v>View Company Online</v>
      </c>
    </row>
    <row r="136" spans="1:67" x14ac:dyDescent="0.3">
      <c r="A136" s="13" t="s">
        <v>1909</v>
      </c>
      <c r="B136" s="13" t="s">
        <v>1910</v>
      </c>
      <c r="C136" s="13" t="s">
        <v>69</v>
      </c>
      <c r="D136" s="21" t="s">
        <v>69</v>
      </c>
      <c r="E136" s="13" t="s">
        <v>69</v>
      </c>
      <c r="F136" s="13" t="s">
        <v>69</v>
      </c>
      <c r="G136" s="13" t="s">
        <v>69</v>
      </c>
      <c r="H136" s="13" t="s">
        <v>69</v>
      </c>
      <c r="I136" s="19" t="s">
        <v>69</v>
      </c>
      <c r="J136" s="20" t="s">
        <v>69</v>
      </c>
      <c r="K136" s="19" t="s">
        <v>69</v>
      </c>
      <c r="L136" s="19" t="s">
        <v>69</v>
      </c>
      <c r="M136" s="19" t="s">
        <v>69</v>
      </c>
      <c r="N136" s="19" t="s">
        <v>69</v>
      </c>
      <c r="O136" s="19" t="s">
        <v>69</v>
      </c>
      <c r="P136" s="19" t="s">
        <v>69</v>
      </c>
      <c r="Q136" s="19" t="s">
        <v>69</v>
      </c>
      <c r="R136" s="18" t="s">
        <v>69</v>
      </c>
      <c r="S136" s="13" t="s">
        <v>69</v>
      </c>
      <c r="T136" s="13" t="s">
        <v>69</v>
      </c>
      <c r="U136" s="13" t="s">
        <v>69</v>
      </c>
      <c r="V136" s="13" t="s">
        <v>69</v>
      </c>
      <c r="W136" s="13" t="s">
        <v>69</v>
      </c>
      <c r="X136" s="13" t="s">
        <v>1911</v>
      </c>
      <c r="Y136" s="13" t="s">
        <v>1912</v>
      </c>
      <c r="Z136" s="13" t="s">
        <v>69</v>
      </c>
      <c r="AA136" s="13" t="s">
        <v>1913</v>
      </c>
      <c r="AB136" s="13" t="s">
        <v>1914</v>
      </c>
      <c r="AC136" s="18" t="s">
        <v>1915</v>
      </c>
      <c r="AD136" s="13" t="s">
        <v>1916</v>
      </c>
      <c r="AE136" s="18" t="s">
        <v>69</v>
      </c>
      <c r="AF136" s="18" t="s">
        <v>69</v>
      </c>
      <c r="AG136" s="13" t="s">
        <v>69</v>
      </c>
      <c r="AH136" s="13" t="s">
        <v>446</v>
      </c>
      <c r="AI136" s="13" t="s">
        <v>1335</v>
      </c>
      <c r="AJ136" s="13" t="s">
        <v>69</v>
      </c>
      <c r="AK136" s="13" t="s">
        <v>69</v>
      </c>
      <c r="AL136" s="13" t="s">
        <v>69</v>
      </c>
      <c r="AM136" s="13" t="s">
        <v>69</v>
      </c>
      <c r="AN136" s="13" t="s">
        <v>69</v>
      </c>
      <c r="AO136" s="13" t="s">
        <v>69</v>
      </c>
      <c r="AP136" s="13" t="s">
        <v>1909</v>
      </c>
      <c r="AQ136" s="13" t="s">
        <v>1917</v>
      </c>
      <c r="AR136" s="13" t="s">
        <v>85</v>
      </c>
      <c r="AS136" s="13" t="s">
        <v>623</v>
      </c>
      <c r="AT136" s="13" t="s">
        <v>1390</v>
      </c>
      <c r="AU136" s="13" t="s">
        <v>1391</v>
      </c>
      <c r="AV136" s="13" t="s">
        <v>69</v>
      </c>
      <c r="AW136" s="13" t="s">
        <v>1918</v>
      </c>
      <c r="AX136" s="13" t="s">
        <v>69</v>
      </c>
      <c r="AY136" s="13" t="s">
        <v>90</v>
      </c>
      <c r="AZ136" s="17" t="s">
        <v>69</v>
      </c>
      <c r="BA136" s="13" t="s">
        <v>69</v>
      </c>
      <c r="BB136" s="13" t="s">
        <v>92</v>
      </c>
      <c r="BC136" s="13" t="s">
        <v>93</v>
      </c>
      <c r="BD136" s="11" t="str">
        <f>HYPERLINK("http://luxehouze.com","luxehouze.com")</f>
        <v>luxehouze.com</v>
      </c>
      <c r="BE136" s="11" t="str">
        <f>HYPERLINK("http://www.linkedin.com/company/luxehouze","http://www.linkedin.com/company/luxehouze")</f>
        <v>http://www.linkedin.com/company/luxehouze</v>
      </c>
      <c r="BF136" s="16">
        <v>59</v>
      </c>
      <c r="BG136" s="13" t="s">
        <v>1919</v>
      </c>
      <c r="BH136" s="13" t="s">
        <v>69</v>
      </c>
      <c r="BI136" s="13" t="s">
        <v>69</v>
      </c>
      <c r="BJ136" s="15">
        <v>2021</v>
      </c>
      <c r="BK136" s="13" t="s">
        <v>69</v>
      </c>
      <c r="BL136" s="14">
        <v>45301</v>
      </c>
      <c r="BM136" s="13" t="s">
        <v>69</v>
      </c>
      <c r="BN136" s="13" t="s">
        <v>69</v>
      </c>
      <c r="BO136" s="11" t="str">
        <f>HYPERLINK("https://my.pitchbook.com?c=549973-72","View Company Online")</f>
        <v>View Company Online</v>
      </c>
    </row>
    <row r="137" spans="1:67" x14ac:dyDescent="0.3">
      <c r="A137" s="3" t="s">
        <v>1920</v>
      </c>
      <c r="B137" s="3" t="s">
        <v>1921</v>
      </c>
      <c r="C137" s="3" t="s">
        <v>69</v>
      </c>
      <c r="D137" s="5" t="s">
        <v>69</v>
      </c>
      <c r="E137" s="3" t="s">
        <v>69</v>
      </c>
      <c r="F137" s="3" t="s">
        <v>69</v>
      </c>
      <c r="G137" s="3" t="s">
        <v>69</v>
      </c>
      <c r="H137" s="3" t="s">
        <v>69</v>
      </c>
      <c r="I137" s="4" t="s">
        <v>69</v>
      </c>
      <c r="J137" s="7" t="s">
        <v>69</v>
      </c>
      <c r="K137" s="4">
        <v>12.02</v>
      </c>
      <c r="L137" s="4">
        <v>4.51</v>
      </c>
      <c r="M137" s="4" t="s">
        <v>69</v>
      </c>
      <c r="N137" s="4">
        <v>5.27</v>
      </c>
      <c r="O137" s="4">
        <v>5.27</v>
      </c>
      <c r="P137" s="4" t="s">
        <v>69</v>
      </c>
      <c r="Q137" s="4">
        <v>0</v>
      </c>
      <c r="R137" s="6" t="s">
        <v>690</v>
      </c>
      <c r="S137" s="3" t="s">
        <v>1922</v>
      </c>
      <c r="T137" s="3" t="s">
        <v>1923</v>
      </c>
      <c r="U137" s="3" t="s">
        <v>1924</v>
      </c>
      <c r="V137" s="3" t="s">
        <v>69</v>
      </c>
      <c r="W137" s="3" t="s">
        <v>1925</v>
      </c>
      <c r="X137" s="3" t="s">
        <v>1926</v>
      </c>
      <c r="Y137" s="3" t="s">
        <v>1927</v>
      </c>
      <c r="Z137" s="3" t="s">
        <v>69</v>
      </c>
      <c r="AA137" s="3" t="s">
        <v>1928</v>
      </c>
      <c r="AB137" s="3" t="s">
        <v>69</v>
      </c>
      <c r="AC137" s="6" t="s">
        <v>1929</v>
      </c>
      <c r="AD137" s="3" t="s">
        <v>128</v>
      </c>
      <c r="AE137" s="6" t="s">
        <v>1925</v>
      </c>
      <c r="AF137" s="6" t="s">
        <v>1930</v>
      </c>
      <c r="AG137" s="3" t="s">
        <v>69</v>
      </c>
      <c r="AH137" s="3" t="s">
        <v>78</v>
      </c>
      <c r="AI137" s="3" t="s">
        <v>132</v>
      </c>
      <c r="AJ137" s="3" t="s">
        <v>69</v>
      </c>
      <c r="AK137" s="3" t="s">
        <v>69</v>
      </c>
      <c r="AL137" s="3" t="s">
        <v>1931</v>
      </c>
      <c r="AM137" s="3" t="s">
        <v>1932</v>
      </c>
      <c r="AN137" s="3" t="s">
        <v>1933</v>
      </c>
      <c r="AO137" s="3" t="s">
        <v>69</v>
      </c>
      <c r="AP137" s="3" t="s">
        <v>1920</v>
      </c>
      <c r="AQ137" s="3" t="s">
        <v>1934</v>
      </c>
      <c r="AR137" s="3" t="s">
        <v>85</v>
      </c>
      <c r="AS137" s="3" t="s">
        <v>211</v>
      </c>
      <c r="AT137" s="3" t="s">
        <v>212</v>
      </c>
      <c r="AU137" s="3" t="s">
        <v>1935</v>
      </c>
      <c r="AV137" s="3" t="s">
        <v>214</v>
      </c>
      <c r="AW137" s="3" t="s">
        <v>1936</v>
      </c>
      <c r="AX137" s="3" t="s">
        <v>69</v>
      </c>
      <c r="AY137" s="3" t="s">
        <v>90</v>
      </c>
      <c r="AZ137" s="8" t="s">
        <v>69</v>
      </c>
      <c r="BA137" s="3" t="s">
        <v>91</v>
      </c>
      <c r="BB137" s="3" t="s">
        <v>92</v>
      </c>
      <c r="BC137" s="3" t="s">
        <v>93</v>
      </c>
      <c r="BD137" s="12" t="str">
        <f>HYPERLINK("http://www.mahlberg.com","www.mahlberg.com")</f>
        <v>www.mahlberg.com</v>
      </c>
      <c r="BE137" s="3" t="s">
        <v>69</v>
      </c>
      <c r="BF137" s="9">
        <v>87</v>
      </c>
      <c r="BG137" s="3" t="s">
        <v>1937</v>
      </c>
      <c r="BH137" s="3" t="s">
        <v>69</v>
      </c>
      <c r="BI137" s="3" t="s">
        <v>69</v>
      </c>
      <c r="BJ137" s="10">
        <v>1972</v>
      </c>
      <c r="BK137" s="3" t="s">
        <v>69</v>
      </c>
      <c r="BL137" s="1">
        <v>45685</v>
      </c>
      <c r="BM137" s="3" t="s">
        <v>69</v>
      </c>
      <c r="BN137" s="3" t="s">
        <v>69</v>
      </c>
      <c r="BO137" s="12" t="str">
        <f>HYPERLINK("https://my.pitchbook.com?c=471238-75","View Company Online")</f>
        <v>View Company Online</v>
      </c>
    </row>
    <row r="138" spans="1:67" x14ac:dyDescent="0.3">
      <c r="A138" s="13" t="s">
        <v>1938</v>
      </c>
      <c r="B138" s="13" t="s">
        <v>1939</v>
      </c>
      <c r="C138" s="13" t="s">
        <v>69</v>
      </c>
      <c r="D138" s="21" t="s">
        <v>69</v>
      </c>
      <c r="E138" s="13" t="s">
        <v>69</v>
      </c>
      <c r="F138" s="13" t="s">
        <v>69</v>
      </c>
      <c r="G138" s="13" t="s">
        <v>69</v>
      </c>
      <c r="H138" s="13" t="s">
        <v>69</v>
      </c>
      <c r="I138" s="19" t="s">
        <v>69</v>
      </c>
      <c r="J138" s="20" t="s">
        <v>69</v>
      </c>
      <c r="K138" s="19" t="s">
        <v>69</v>
      </c>
      <c r="L138" s="19" t="s">
        <v>69</v>
      </c>
      <c r="M138" s="19" t="s">
        <v>69</v>
      </c>
      <c r="N138" s="19" t="s">
        <v>69</v>
      </c>
      <c r="O138" s="19" t="s">
        <v>69</v>
      </c>
      <c r="P138" s="19" t="s">
        <v>69</v>
      </c>
      <c r="Q138" s="19" t="s">
        <v>69</v>
      </c>
      <c r="R138" s="18" t="s">
        <v>69</v>
      </c>
      <c r="S138" s="13" t="s">
        <v>1940</v>
      </c>
      <c r="T138" s="13" t="s">
        <v>1941</v>
      </c>
      <c r="U138" s="13" t="s">
        <v>1942</v>
      </c>
      <c r="V138" s="13" t="s">
        <v>69</v>
      </c>
      <c r="W138" s="13" t="s">
        <v>69</v>
      </c>
      <c r="X138" s="13" t="s">
        <v>1943</v>
      </c>
      <c r="Y138" s="13" t="s">
        <v>69</v>
      </c>
      <c r="Z138" s="13" t="s">
        <v>69</v>
      </c>
      <c r="AA138" s="13" t="s">
        <v>1944</v>
      </c>
      <c r="AB138" s="13" t="s">
        <v>69</v>
      </c>
      <c r="AC138" s="18" t="s">
        <v>69</v>
      </c>
      <c r="AD138" s="13" t="s">
        <v>1945</v>
      </c>
      <c r="AE138" s="18" t="s">
        <v>69</v>
      </c>
      <c r="AF138" s="18" t="s">
        <v>69</v>
      </c>
      <c r="AG138" s="13" t="s">
        <v>69</v>
      </c>
      <c r="AH138" s="13" t="s">
        <v>912</v>
      </c>
      <c r="AI138" s="13" t="s">
        <v>912</v>
      </c>
      <c r="AJ138" s="13" t="s">
        <v>69</v>
      </c>
      <c r="AK138" s="13" t="s">
        <v>1946</v>
      </c>
      <c r="AL138" s="13" t="s">
        <v>69</v>
      </c>
      <c r="AM138" s="13" t="s">
        <v>69</v>
      </c>
      <c r="AN138" s="13" t="s">
        <v>69</v>
      </c>
      <c r="AO138" s="13" t="s">
        <v>69</v>
      </c>
      <c r="AP138" s="13" t="s">
        <v>1938</v>
      </c>
      <c r="AQ138" s="13" t="s">
        <v>1947</v>
      </c>
      <c r="AR138" s="13" t="s">
        <v>85</v>
      </c>
      <c r="AS138" s="13" t="s">
        <v>86</v>
      </c>
      <c r="AT138" s="13" t="s">
        <v>137</v>
      </c>
      <c r="AU138" s="13" t="s">
        <v>1948</v>
      </c>
      <c r="AV138" s="13" t="s">
        <v>1949</v>
      </c>
      <c r="AW138" s="13" t="s">
        <v>1950</v>
      </c>
      <c r="AX138" s="13" t="s">
        <v>69</v>
      </c>
      <c r="AY138" s="13" t="s">
        <v>90</v>
      </c>
      <c r="AZ138" s="17" t="s">
        <v>69</v>
      </c>
      <c r="BA138" s="13" t="s">
        <v>91</v>
      </c>
      <c r="BB138" s="13" t="s">
        <v>92</v>
      </c>
      <c r="BC138" s="13" t="s">
        <v>93</v>
      </c>
      <c r="BD138" s="11" t="str">
        <f>HYPERLINK("http://www.majddigital.com","www.majddigital.com")</f>
        <v>www.majddigital.com</v>
      </c>
      <c r="BE138" s="11" t="str">
        <f>HYPERLINK("http://www.linkedin.com/company/majddigital","http://www.linkedin.com/company/majddigital")</f>
        <v>http://www.linkedin.com/company/majddigital</v>
      </c>
      <c r="BF138" s="16">
        <v>268</v>
      </c>
      <c r="BG138" s="13" t="s">
        <v>1951</v>
      </c>
      <c r="BH138" s="13" t="s">
        <v>69</v>
      </c>
      <c r="BI138" s="13" t="s">
        <v>69</v>
      </c>
      <c r="BJ138" s="15" t="s">
        <v>69</v>
      </c>
      <c r="BK138" s="13" t="s">
        <v>69</v>
      </c>
      <c r="BL138" s="14">
        <v>45342</v>
      </c>
      <c r="BM138" s="13" t="s">
        <v>69</v>
      </c>
      <c r="BN138" s="13" t="s">
        <v>69</v>
      </c>
      <c r="BO138" s="11" t="str">
        <f>HYPERLINK("https://my.pitchbook.com?c=588755-89","View Company Online")</f>
        <v>View Company Online</v>
      </c>
    </row>
    <row r="139" spans="1:67" x14ac:dyDescent="0.3">
      <c r="A139" s="3" t="s">
        <v>1952</v>
      </c>
      <c r="B139" s="3" t="s">
        <v>1953</v>
      </c>
      <c r="C139" s="3" t="s">
        <v>69</v>
      </c>
      <c r="D139" s="5" t="s">
        <v>69</v>
      </c>
      <c r="E139" s="3" t="s">
        <v>69</v>
      </c>
      <c r="F139" s="3" t="s">
        <v>69</v>
      </c>
      <c r="G139" s="3" t="s">
        <v>69</v>
      </c>
      <c r="H139" s="3" t="s">
        <v>69</v>
      </c>
      <c r="I139" s="4" t="s">
        <v>69</v>
      </c>
      <c r="J139" s="7" t="s">
        <v>69</v>
      </c>
      <c r="K139" s="4" t="s">
        <v>69</v>
      </c>
      <c r="L139" s="4" t="s">
        <v>69</v>
      </c>
      <c r="M139" s="4" t="s">
        <v>69</v>
      </c>
      <c r="N139" s="4" t="s">
        <v>69</v>
      </c>
      <c r="O139" s="4" t="s">
        <v>69</v>
      </c>
      <c r="P139" s="4" t="s">
        <v>69</v>
      </c>
      <c r="Q139" s="4" t="s">
        <v>69</v>
      </c>
      <c r="R139" s="6" t="s">
        <v>69</v>
      </c>
      <c r="S139" s="3" t="s">
        <v>1954</v>
      </c>
      <c r="T139" s="3" t="s">
        <v>1955</v>
      </c>
      <c r="U139" s="3" t="s">
        <v>1956</v>
      </c>
      <c r="V139" s="3" t="s">
        <v>1957</v>
      </c>
      <c r="W139" s="3" t="s">
        <v>1958</v>
      </c>
      <c r="X139" s="3" t="s">
        <v>1959</v>
      </c>
      <c r="Y139" s="3" t="s">
        <v>1960</v>
      </c>
      <c r="Z139" s="3" t="s">
        <v>1961</v>
      </c>
      <c r="AA139" s="3" t="s">
        <v>1962</v>
      </c>
      <c r="AB139" s="3" t="s">
        <v>69</v>
      </c>
      <c r="AC139" s="6" t="s">
        <v>1963</v>
      </c>
      <c r="AD139" s="3" t="s">
        <v>1964</v>
      </c>
      <c r="AE139" s="6" t="s">
        <v>1958</v>
      </c>
      <c r="AF139" s="6" t="s">
        <v>69</v>
      </c>
      <c r="AG139" s="3" t="s">
        <v>1965</v>
      </c>
      <c r="AH139" s="3" t="s">
        <v>379</v>
      </c>
      <c r="AI139" s="3" t="s">
        <v>1966</v>
      </c>
      <c r="AJ139" s="3" t="s">
        <v>69</v>
      </c>
      <c r="AK139" s="3" t="s">
        <v>69</v>
      </c>
      <c r="AL139" s="3" t="s">
        <v>1967</v>
      </c>
      <c r="AM139" s="3" t="s">
        <v>69</v>
      </c>
      <c r="AN139" s="3" t="s">
        <v>69</v>
      </c>
      <c r="AO139" s="3" t="s">
        <v>69</v>
      </c>
      <c r="AP139" s="3" t="s">
        <v>1952</v>
      </c>
      <c r="AQ139" s="3" t="s">
        <v>1968</v>
      </c>
      <c r="AR139" s="3" t="s">
        <v>85</v>
      </c>
      <c r="AS139" s="3" t="s">
        <v>86</v>
      </c>
      <c r="AT139" s="3" t="s">
        <v>87</v>
      </c>
      <c r="AU139" s="3" t="s">
        <v>112</v>
      </c>
      <c r="AV139" s="3" t="s">
        <v>113</v>
      </c>
      <c r="AW139" s="3" t="s">
        <v>1969</v>
      </c>
      <c r="AX139" s="3" t="s">
        <v>69</v>
      </c>
      <c r="AY139" s="3" t="s">
        <v>90</v>
      </c>
      <c r="AZ139" s="8" t="s">
        <v>69</v>
      </c>
      <c r="BA139" s="3" t="s">
        <v>91</v>
      </c>
      <c r="BB139" s="3" t="s">
        <v>92</v>
      </c>
      <c r="BC139" s="3" t="s">
        <v>93</v>
      </c>
      <c r="BD139" s="12" t="str">
        <f>HYPERLINK("http://www.megapaca.store","www.megapaca.store")</f>
        <v>www.megapaca.store</v>
      </c>
      <c r="BE139" s="12" t="str">
        <f>HYPERLINK("http://www.linkedin.com/company/megapaca","http://www.linkedin.com/company/megapaca")</f>
        <v>http://www.linkedin.com/company/megapaca</v>
      </c>
      <c r="BF139" s="9">
        <v>1249</v>
      </c>
      <c r="BG139" s="3" t="s">
        <v>1970</v>
      </c>
      <c r="BH139" s="3" t="s">
        <v>69</v>
      </c>
      <c r="BI139" s="3" t="s">
        <v>69</v>
      </c>
      <c r="BJ139" s="10">
        <v>2001</v>
      </c>
      <c r="BK139" s="3" t="s">
        <v>69</v>
      </c>
      <c r="BL139" s="1">
        <v>45204</v>
      </c>
      <c r="BM139" s="3" t="s">
        <v>69</v>
      </c>
      <c r="BN139" s="3" t="s">
        <v>69</v>
      </c>
      <c r="BO139" s="12" t="str">
        <f>HYPERLINK("https://my.pitchbook.com?c=537522-76","View Company Online")</f>
        <v>View Company Online</v>
      </c>
    </row>
    <row r="140" spans="1:67" x14ac:dyDescent="0.3">
      <c r="A140" s="13" t="s">
        <v>1971</v>
      </c>
      <c r="B140" s="13" t="s">
        <v>1972</v>
      </c>
      <c r="C140" s="13" t="s">
        <v>69</v>
      </c>
      <c r="D140" s="21" t="s">
        <v>69</v>
      </c>
      <c r="E140" s="13" t="s">
        <v>69</v>
      </c>
      <c r="F140" s="13" t="s">
        <v>69</v>
      </c>
      <c r="G140" s="13" t="s">
        <v>69</v>
      </c>
      <c r="H140" s="13" t="s">
        <v>69</v>
      </c>
      <c r="I140" s="19" t="s">
        <v>69</v>
      </c>
      <c r="J140" s="20" t="s">
        <v>69</v>
      </c>
      <c r="K140" s="19" t="s">
        <v>69</v>
      </c>
      <c r="L140" s="19" t="s">
        <v>69</v>
      </c>
      <c r="M140" s="19" t="s">
        <v>69</v>
      </c>
      <c r="N140" s="19" t="s">
        <v>69</v>
      </c>
      <c r="O140" s="19" t="s">
        <v>69</v>
      </c>
      <c r="P140" s="19" t="s">
        <v>69</v>
      </c>
      <c r="Q140" s="19" t="s">
        <v>69</v>
      </c>
      <c r="R140" s="18" t="s">
        <v>69</v>
      </c>
      <c r="S140" s="13" t="s">
        <v>69</v>
      </c>
      <c r="T140" s="13" t="s">
        <v>69</v>
      </c>
      <c r="U140" s="13" t="s">
        <v>69</v>
      </c>
      <c r="V140" s="13" t="s">
        <v>69</v>
      </c>
      <c r="W140" s="13" t="s">
        <v>69</v>
      </c>
      <c r="X140" s="13" t="s">
        <v>1943</v>
      </c>
      <c r="Y140" s="13" t="s">
        <v>1973</v>
      </c>
      <c r="Z140" s="13" t="s">
        <v>69</v>
      </c>
      <c r="AA140" s="13" t="s">
        <v>1944</v>
      </c>
      <c r="AB140" s="13" t="s">
        <v>1944</v>
      </c>
      <c r="AC140" s="18" t="s">
        <v>69</v>
      </c>
      <c r="AD140" s="13" t="s">
        <v>1945</v>
      </c>
      <c r="AE140" s="18" t="s">
        <v>69</v>
      </c>
      <c r="AF140" s="18" t="s">
        <v>69</v>
      </c>
      <c r="AG140" s="13" t="s">
        <v>69</v>
      </c>
      <c r="AH140" s="13" t="s">
        <v>912</v>
      </c>
      <c r="AI140" s="13" t="s">
        <v>912</v>
      </c>
      <c r="AJ140" s="13" t="s">
        <v>69</v>
      </c>
      <c r="AK140" s="13" t="s">
        <v>69</v>
      </c>
      <c r="AL140" s="13" t="s">
        <v>69</v>
      </c>
      <c r="AM140" s="13" t="s">
        <v>69</v>
      </c>
      <c r="AN140" s="13" t="s">
        <v>69</v>
      </c>
      <c r="AO140" s="13" t="s">
        <v>69</v>
      </c>
      <c r="AP140" s="13" t="s">
        <v>1971</v>
      </c>
      <c r="AQ140" s="13" t="s">
        <v>1974</v>
      </c>
      <c r="AR140" s="13" t="s">
        <v>185</v>
      </c>
      <c r="AS140" s="13" t="s">
        <v>348</v>
      </c>
      <c r="AT140" s="13" t="s">
        <v>1975</v>
      </c>
      <c r="AU140" s="13" t="s">
        <v>1976</v>
      </c>
      <c r="AV140" s="13" t="s">
        <v>69</v>
      </c>
      <c r="AW140" s="13" t="s">
        <v>1977</v>
      </c>
      <c r="AX140" s="13" t="s">
        <v>69</v>
      </c>
      <c r="AY140" s="13" t="s">
        <v>90</v>
      </c>
      <c r="AZ140" s="17" t="s">
        <v>69</v>
      </c>
      <c r="BA140" s="13" t="s">
        <v>69</v>
      </c>
      <c r="BB140" s="13" t="s">
        <v>92</v>
      </c>
      <c r="BC140" s="13" t="s">
        <v>93</v>
      </c>
      <c r="BD140" s="11" t="str">
        <f>HYPERLINK("http://minutes.co.ae","minutes.co.ae")</f>
        <v>minutes.co.ae</v>
      </c>
      <c r="BE140" s="11" t="str">
        <f>HYPERLINK("http://www.linkedin.com/company/minutes-uae","http://www.linkedin.com/company/minutes-uae")</f>
        <v>http://www.linkedin.com/company/minutes-uae</v>
      </c>
      <c r="BF140" s="16">
        <v>113</v>
      </c>
      <c r="BG140" s="13" t="s">
        <v>1978</v>
      </c>
      <c r="BH140" s="13" t="s">
        <v>69</v>
      </c>
      <c r="BI140" s="13" t="s">
        <v>69</v>
      </c>
      <c r="BJ140" s="15">
        <v>1984</v>
      </c>
      <c r="BK140" s="13" t="s">
        <v>69</v>
      </c>
      <c r="BL140" s="14">
        <v>45301</v>
      </c>
      <c r="BM140" s="13" t="s">
        <v>69</v>
      </c>
      <c r="BN140" s="13" t="s">
        <v>69</v>
      </c>
      <c r="BO140" s="11" t="str">
        <f>HYPERLINK("https://my.pitchbook.com?c=551217-79","View Company Online")</f>
        <v>View Company Online</v>
      </c>
    </row>
    <row r="141" spans="1:67" x14ac:dyDescent="0.3">
      <c r="A141" s="3" t="s">
        <v>1979</v>
      </c>
      <c r="B141" s="3" t="s">
        <v>1980</v>
      </c>
      <c r="C141" s="3" t="s">
        <v>69</v>
      </c>
      <c r="D141" s="5" t="s">
        <v>69</v>
      </c>
      <c r="E141" s="3" t="s">
        <v>69</v>
      </c>
      <c r="F141" s="3" t="s">
        <v>69</v>
      </c>
      <c r="G141" s="3" t="s">
        <v>69</v>
      </c>
      <c r="H141" s="3" t="s">
        <v>69</v>
      </c>
      <c r="I141" s="4" t="s">
        <v>69</v>
      </c>
      <c r="J141" s="7" t="s">
        <v>69</v>
      </c>
      <c r="K141" s="4" t="s">
        <v>69</v>
      </c>
      <c r="L141" s="4" t="s">
        <v>69</v>
      </c>
      <c r="M141" s="4" t="s">
        <v>69</v>
      </c>
      <c r="N141" s="4" t="s">
        <v>69</v>
      </c>
      <c r="O141" s="4" t="s">
        <v>69</v>
      </c>
      <c r="P141" s="4" t="s">
        <v>69</v>
      </c>
      <c r="Q141" s="4" t="s">
        <v>69</v>
      </c>
      <c r="R141" s="6" t="s">
        <v>69</v>
      </c>
      <c r="S141" s="3" t="s">
        <v>1981</v>
      </c>
      <c r="T141" s="3" t="s">
        <v>1982</v>
      </c>
      <c r="U141" s="3" t="s">
        <v>1249</v>
      </c>
      <c r="V141" s="3" t="s">
        <v>1983</v>
      </c>
      <c r="W141" s="3" t="s">
        <v>1984</v>
      </c>
      <c r="X141" s="3" t="s">
        <v>1985</v>
      </c>
      <c r="Y141" s="3" t="s">
        <v>1986</v>
      </c>
      <c r="Z141" s="3" t="s">
        <v>69</v>
      </c>
      <c r="AA141" s="3" t="s">
        <v>1987</v>
      </c>
      <c r="AB141" s="3" t="s">
        <v>376</v>
      </c>
      <c r="AC141" s="6" t="s">
        <v>1988</v>
      </c>
      <c r="AD141" s="3" t="s">
        <v>378</v>
      </c>
      <c r="AE141" s="6" t="s">
        <v>1984</v>
      </c>
      <c r="AF141" s="6" t="s">
        <v>69</v>
      </c>
      <c r="AG141" s="3" t="s">
        <v>69</v>
      </c>
      <c r="AH141" s="3" t="s">
        <v>379</v>
      </c>
      <c r="AI141" s="3" t="s">
        <v>380</v>
      </c>
      <c r="AJ141" s="3" t="s">
        <v>1989</v>
      </c>
      <c r="AK141" s="3" t="s">
        <v>1990</v>
      </c>
      <c r="AL141" s="3" t="s">
        <v>69</v>
      </c>
      <c r="AM141" s="3" t="s">
        <v>69</v>
      </c>
      <c r="AN141" s="3" t="s">
        <v>69</v>
      </c>
      <c r="AO141" s="3" t="s">
        <v>69</v>
      </c>
      <c r="AP141" s="3" t="s">
        <v>1979</v>
      </c>
      <c r="AQ141" s="3" t="s">
        <v>1991</v>
      </c>
      <c r="AR141" s="3" t="s">
        <v>85</v>
      </c>
      <c r="AS141" s="3" t="s">
        <v>86</v>
      </c>
      <c r="AT141" s="3" t="s">
        <v>87</v>
      </c>
      <c r="AU141" s="3" t="s">
        <v>1992</v>
      </c>
      <c r="AV141" s="3" t="s">
        <v>113</v>
      </c>
      <c r="AW141" s="3" t="s">
        <v>1993</v>
      </c>
      <c r="AX141" s="3" t="s">
        <v>69</v>
      </c>
      <c r="AY141" s="3" t="s">
        <v>90</v>
      </c>
      <c r="AZ141" s="8" t="s">
        <v>69</v>
      </c>
      <c r="BA141" s="3" t="s">
        <v>91</v>
      </c>
      <c r="BB141" s="3" t="s">
        <v>92</v>
      </c>
      <c r="BC141" s="3" t="s">
        <v>93</v>
      </c>
      <c r="BD141" s="12" t="str">
        <f>HYPERLINK("http://www.mitchells.mitchellstores.com","www.mitchells.mitchellstores.com")</f>
        <v>www.mitchells.mitchellstores.com</v>
      </c>
      <c r="BE141" s="12" t="str">
        <f>HYPERLINK("http://www.linkedin.com/company/mitchells-family-store","http://www.linkedin.com/company/mitchells-family-store")</f>
        <v>http://www.linkedin.com/company/mitchells-family-store</v>
      </c>
      <c r="BF141" s="9">
        <v>175</v>
      </c>
      <c r="BG141" s="3" t="s">
        <v>1994</v>
      </c>
      <c r="BH141" s="3" t="s">
        <v>69</v>
      </c>
      <c r="BI141" s="3" t="s">
        <v>69</v>
      </c>
      <c r="BJ141" s="10">
        <v>1958</v>
      </c>
      <c r="BK141" s="3" t="s">
        <v>69</v>
      </c>
      <c r="BL141" s="1">
        <v>45727</v>
      </c>
      <c r="BM141" s="3" t="s">
        <v>69</v>
      </c>
      <c r="BN141" s="3" t="s">
        <v>69</v>
      </c>
      <c r="BO141" s="12" t="str">
        <f>HYPERLINK("https://my.pitchbook.com?c=384865-03","View Company Online")</f>
        <v>View Company Online</v>
      </c>
    </row>
    <row r="142" spans="1:67" x14ac:dyDescent="0.3">
      <c r="A142" s="13" t="s">
        <v>1995</v>
      </c>
      <c r="B142" s="13" t="s">
        <v>1996</v>
      </c>
      <c r="C142" s="13" t="s">
        <v>69</v>
      </c>
      <c r="D142" s="21" t="s">
        <v>69</v>
      </c>
      <c r="E142" s="13" t="s">
        <v>69</v>
      </c>
      <c r="F142" s="13" t="s">
        <v>69</v>
      </c>
      <c r="G142" s="13" t="s">
        <v>69</v>
      </c>
      <c r="H142" s="13" t="s">
        <v>69</v>
      </c>
      <c r="I142" s="19" t="s">
        <v>69</v>
      </c>
      <c r="J142" s="20" t="s">
        <v>69</v>
      </c>
      <c r="K142" s="19" t="s">
        <v>69</v>
      </c>
      <c r="L142" s="19" t="s">
        <v>69</v>
      </c>
      <c r="M142" s="19" t="s">
        <v>69</v>
      </c>
      <c r="N142" s="19" t="s">
        <v>69</v>
      </c>
      <c r="O142" s="19" t="s">
        <v>69</v>
      </c>
      <c r="P142" s="19" t="s">
        <v>69</v>
      </c>
      <c r="Q142" s="19" t="s">
        <v>69</v>
      </c>
      <c r="R142" s="18" t="s">
        <v>69</v>
      </c>
      <c r="S142" s="13" t="s">
        <v>1997</v>
      </c>
      <c r="T142" s="13" t="s">
        <v>1998</v>
      </c>
      <c r="U142" s="13" t="s">
        <v>1999</v>
      </c>
      <c r="V142" s="13" t="s">
        <v>2000</v>
      </c>
      <c r="W142" s="13" t="s">
        <v>2001</v>
      </c>
      <c r="X142" s="13" t="s">
        <v>2002</v>
      </c>
      <c r="Y142" s="13" t="s">
        <v>2003</v>
      </c>
      <c r="Z142" s="13" t="s">
        <v>69</v>
      </c>
      <c r="AA142" s="13" t="s">
        <v>2004</v>
      </c>
      <c r="AB142" s="13" t="s">
        <v>69</v>
      </c>
      <c r="AC142" s="18" t="s">
        <v>2005</v>
      </c>
      <c r="AD142" s="13" t="s">
        <v>497</v>
      </c>
      <c r="AE142" s="18" t="s">
        <v>2006</v>
      </c>
      <c r="AF142" s="18" t="s">
        <v>69</v>
      </c>
      <c r="AG142" s="13" t="s">
        <v>2007</v>
      </c>
      <c r="AH142" s="13" t="s">
        <v>78</v>
      </c>
      <c r="AI142" s="13" t="s">
        <v>132</v>
      </c>
      <c r="AJ142" s="13" t="s">
        <v>69</v>
      </c>
      <c r="AK142" s="13" t="s">
        <v>69</v>
      </c>
      <c r="AL142" s="13" t="s">
        <v>2008</v>
      </c>
      <c r="AM142" s="13" t="s">
        <v>69</v>
      </c>
      <c r="AN142" s="13" t="s">
        <v>69</v>
      </c>
      <c r="AO142" s="13" t="s">
        <v>2009</v>
      </c>
      <c r="AP142" s="13" t="s">
        <v>1995</v>
      </c>
      <c r="AQ142" s="13" t="s">
        <v>2010</v>
      </c>
      <c r="AR142" s="13" t="s">
        <v>85</v>
      </c>
      <c r="AS142" s="13" t="s">
        <v>211</v>
      </c>
      <c r="AT142" s="13" t="s">
        <v>212</v>
      </c>
      <c r="AU142" s="13" t="s">
        <v>2011</v>
      </c>
      <c r="AV142" s="13" t="s">
        <v>214</v>
      </c>
      <c r="AW142" s="13" t="s">
        <v>2012</v>
      </c>
      <c r="AX142" s="13" t="s">
        <v>69</v>
      </c>
      <c r="AY142" s="13" t="s">
        <v>90</v>
      </c>
      <c r="AZ142" s="17" t="s">
        <v>69</v>
      </c>
      <c r="BA142" s="13" t="s">
        <v>91</v>
      </c>
      <c r="BB142" s="13" t="s">
        <v>92</v>
      </c>
      <c r="BC142" s="13" t="s">
        <v>93</v>
      </c>
      <c r="BD142" s="11" t="str">
        <f>HYPERLINK("http://www.ch.mondaine.com","www.ch.mondaine.com")</f>
        <v>www.ch.mondaine.com</v>
      </c>
      <c r="BE142" s="11" t="str">
        <f>HYPERLINK("http://www.linkedin.com/company/mondaine-watch","http://www.linkedin.com/company/mondaine-watch")</f>
        <v>http://www.linkedin.com/company/mondaine-watch</v>
      </c>
      <c r="BF142" s="16">
        <v>120</v>
      </c>
      <c r="BG142" s="13" t="s">
        <v>2013</v>
      </c>
      <c r="BH142" s="13" t="s">
        <v>69</v>
      </c>
      <c r="BI142" s="13" t="s">
        <v>69</v>
      </c>
      <c r="BJ142" s="15">
        <v>1951</v>
      </c>
      <c r="BK142" s="13" t="s">
        <v>69</v>
      </c>
      <c r="BL142" s="14">
        <v>45169</v>
      </c>
      <c r="BM142" s="13" t="s">
        <v>69</v>
      </c>
      <c r="BN142" s="13" t="s">
        <v>69</v>
      </c>
      <c r="BO142" s="11" t="str">
        <f>HYPERLINK("https://my.pitchbook.com?c=152335-99","View Company Online")</f>
        <v>View Company Online</v>
      </c>
    </row>
    <row r="143" spans="1:67" x14ac:dyDescent="0.3">
      <c r="A143" s="3" t="s">
        <v>2014</v>
      </c>
      <c r="B143" s="3" t="s">
        <v>2015</v>
      </c>
      <c r="C143" s="3" t="s">
        <v>69</v>
      </c>
      <c r="D143" s="5" t="s">
        <v>69</v>
      </c>
      <c r="E143" s="3" t="s">
        <v>69</v>
      </c>
      <c r="F143" s="3" t="s">
        <v>69</v>
      </c>
      <c r="G143" s="3" t="s">
        <v>69</v>
      </c>
      <c r="H143" s="3" t="s">
        <v>69</v>
      </c>
      <c r="I143" s="4" t="s">
        <v>69</v>
      </c>
      <c r="J143" s="7" t="s">
        <v>69</v>
      </c>
      <c r="K143" s="4" t="s">
        <v>69</v>
      </c>
      <c r="L143" s="4" t="s">
        <v>69</v>
      </c>
      <c r="M143" s="4" t="s">
        <v>69</v>
      </c>
      <c r="N143" s="4" t="s">
        <v>69</v>
      </c>
      <c r="O143" s="4" t="s">
        <v>69</v>
      </c>
      <c r="P143" s="4" t="s">
        <v>69</v>
      </c>
      <c r="Q143" s="4" t="s">
        <v>69</v>
      </c>
      <c r="R143" s="6" t="s">
        <v>69</v>
      </c>
      <c r="S143" s="3" t="s">
        <v>2016</v>
      </c>
      <c r="T143" s="3" t="s">
        <v>2017</v>
      </c>
      <c r="U143" s="3" t="s">
        <v>1857</v>
      </c>
      <c r="V143" s="3" t="s">
        <v>2018</v>
      </c>
      <c r="W143" s="3" t="s">
        <v>2019</v>
      </c>
      <c r="X143" s="3" t="s">
        <v>2020</v>
      </c>
      <c r="Y143" s="3" t="s">
        <v>2021</v>
      </c>
      <c r="Z143" s="3" t="s">
        <v>2022</v>
      </c>
      <c r="AA143" s="3" t="s">
        <v>2023</v>
      </c>
      <c r="AB143" s="3" t="s">
        <v>69</v>
      </c>
      <c r="AC143" s="6" t="s">
        <v>69</v>
      </c>
      <c r="AD143" s="3" t="s">
        <v>2024</v>
      </c>
      <c r="AE143" s="6" t="s">
        <v>2019</v>
      </c>
      <c r="AF143" s="6" t="s">
        <v>2025</v>
      </c>
      <c r="AG143" s="3" t="s">
        <v>2026</v>
      </c>
      <c r="AH143" s="3" t="s">
        <v>446</v>
      </c>
      <c r="AI143" s="3" t="s">
        <v>447</v>
      </c>
      <c r="AJ143" s="3" t="s">
        <v>69</v>
      </c>
      <c r="AK143" s="3" t="s">
        <v>2027</v>
      </c>
      <c r="AL143" s="3" t="s">
        <v>2028</v>
      </c>
      <c r="AM143" s="3" t="s">
        <v>69</v>
      </c>
      <c r="AN143" s="3" t="s">
        <v>69</v>
      </c>
      <c r="AO143" s="3" t="s">
        <v>69</v>
      </c>
      <c r="AP143" s="3" t="s">
        <v>2014</v>
      </c>
      <c r="AQ143" s="3" t="s">
        <v>2029</v>
      </c>
      <c r="AR143" s="3" t="s">
        <v>85</v>
      </c>
      <c r="AS143" s="3" t="s">
        <v>572</v>
      </c>
      <c r="AT143" s="3" t="s">
        <v>2030</v>
      </c>
      <c r="AU143" s="3" t="s">
        <v>2031</v>
      </c>
      <c r="AV143" s="3" t="s">
        <v>2032</v>
      </c>
      <c r="AW143" s="3" t="s">
        <v>2033</v>
      </c>
      <c r="AX143" s="3" t="s">
        <v>69</v>
      </c>
      <c r="AY143" s="3" t="s">
        <v>90</v>
      </c>
      <c r="AZ143" s="8" t="s">
        <v>69</v>
      </c>
      <c r="BA143" s="3" t="s">
        <v>91</v>
      </c>
      <c r="BB143" s="3" t="s">
        <v>92</v>
      </c>
      <c r="BC143" s="3" t="s">
        <v>93</v>
      </c>
      <c r="BD143" s="12" t="str">
        <f>HYPERLINK("http://www.montrichardwatch.com","www.montrichardwatch.com")</f>
        <v>www.montrichardwatch.com</v>
      </c>
      <c r="BE143" s="12" t="str">
        <f>HYPERLINK("http://www.linkedin.com/company/montrichard-group","http://www.linkedin.com/company/montrichard-group")</f>
        <v>http://www.linkedin.com/company/montrichard-group</v>
      </c>
      <c r="BF143" s="9">
        <v>52</v>
      </c>
      <c r="BG143" s="3" t="s">
        <v>2034</v>
      </c>
      <c r="BH143" s="3" t="s">
        <v>69</v>
      </c>
      <c r="BI143" s="3" t="s">
        <v>69</v>
      </c>
      <c r="BJ143" s="10">
        <v>1993</v>
      </c>
      <c r="BK143" s="3" t="s">
        <v>69</v>
      </c>
      <c r="BL143" s="1">
        <v>45504</v>
      </c>
      <c r="BM143" s="3" t="s">
        <v>69</v>
      </c>
      <c r="BN143" s="3" t="s">
        <v>69</v>
      </c>
      <c r="BO143" s="12" t="str">
        <f>HYPERLINK("https://my.pitchbook.com?c=133282-63","View Company Online")</f>
        <v>View Company Online</v>
      </c>
    </row>
    <row r="144" spans="1:67" x14ac:dyDescent="0.3">
      <c r="A144" s="13" t="s">
        <v>2035</v>
      </c>
      <c r="B144" s="13" t="s">
        <v>2036</v>
      </c>
      <c r="C144" s="13" t="s">
        <v>69</v>
      </c>
      <c r="D144" s="21" t="s">
        <v>69</v>
      </c>
      <c r="E144" s="13" t="s">
        <v>69</v>
      </c>
      <c r="F144" s="13" t="s">
        <v>69</v>
      </c>
      <c r="G144" s="13" t="s">
        <v>69</v>
      </c>
      <c r="H144" s="13" t="s">
        <v>69</v>
      </c>
      <c r="I144" s="19" t="s">
        <v>69</v>
      </c>
      <c r="J144" s="20" t="s">
        <v>69</v>
      </c>
      <c r="K144" s="19" t="s">
        <v>69</v>
      </c>
      <c r="L144" s="19" t="s">
        <v>69</v>
      </c>
      <c r="M144" s="19" t="s">
        <v>69</v>
      </c>
      <c r="N144" s="19" t="s">
        <v>69</v>
      </c>
      <c r="O144" s="19" t="s">
        <v>69</v>
      </c>
      <c r="P144" s="19" t="s">
        <v>69</v>
      </c>
      <c r="Q144" s="19" t="s">
        <v>69</v>
      </c>
      <c r="R144" s="18" t="s">
        <v>69</v>
      </c>
      <c r="S144" s="13" t="s">
        <v>2037</v>
      </c>
      <c r="T144" s="13" t="s">
        <v>2038</v>
      </c>
      <c r="U144" s="13" t="s">
        <v>257</v>
      </c>
      <c r="V144" s="13" t="s">
        <v>2039</v>
      </c>
      <c r="W144" s="13" t="s">
        <v>2040</v>
      </c>
      <c r="X144" s="13" t="s">
        <v>2041</v>
      </c>
      <c r="Y144" s="13" t="s">
        <v>2042</v>
      </c>
      <c r="Z144" s="13" t="s">
        <v>69</v>
      </c>
      <c r="AA144" s="13" t="s">
        <v>2043</v>
      </c>
      <c r="AB144" s="13" t="s">
        <v>850</v>
      </c>
      <c r="AC144" s="18" t="s">
        <v>2044</v>
      </c>
      <c r="AD144" s="13" t="s">
        <v>378</v>
      </c>
      <c r="AE144" s="18" t="s">
        <v>2040</v>
      </c>
      <c r="AF144" s="18" t="s">
        <v>69</v>
      </c>
      <c r="AG144" s="13" t="s">
        <v>69</v>
      </c>
      <c r="AH144" s="13" t="s">
        <v>379</v>
      </c>
      <c r="AI144" s="13" t="s">
        <v>380</v>
      </c>
      <c r="AJ144" s="13" t="s">
        <v>69</v>
      </c>
      <c r="AK144" s="13" t="s">
        <v>69</v>
      </c>
      <c r="AL144" s="13" t="s">
        <v>2045</v>
      </c>
      <c r="AM144" s="13" t="s">
        <v>69</v>
      </c>
      <c r="AN144" s="13" t="s">
        <v>69</v>
      </c>
      <c r="AO144" s="13" t="s">
        <v>69</v>
      </c>
      <c r="AP144" s="13" t="s">
        <v>2035</v>
      </c>
      <c r="AQ144" s="13" t="s">
        <v>2046</v>
      </c>
      <c r="AR144" s="13" t="s">
        <v>85</v>
      </c>
      <c r="AS144" s="13" t="s">
        <v>623</v>
      </c>
      <c r="AT144" s="13" t="s">
        <v>624</v>
      </c>
      <c r="AU144" s="13" t="s">
        <v>625</v>
      </c>
      <c r="AV144" s="13" t="s">
        <v>69</v>
      </c>
      <c r="AW144" s="13" t="s">
        <v>2047</v>
      </c>
      <c r="AX144" s="13" t="s">
        <v>69</v>
      </c>
      <c r="AY144" s="13" t="s">
        <v>90</v>
      </c>
      <c r="AZ144" s="17" t="s">
        <v>69</v>
      </c>
      <c r="BA144" s="13" t="s">
        <v>91</v>
      </c>
      <c r="BB144" s="13" t="s">
        <v>92</v>
      </c>
      <c r="BC144" s="13" t="s">
        <v>93</v>
      </c>
      <c r="BD144" s="11" t="str">
        <f>HYPERLINK("http://www.moviesanywhere.com","www.moviesanywhere.com")</f>
        <v>www.moviesanywhere.com</v>
      </c>
      <c r="BE144" s="13" t="s">
        <v>69</v>
      </c>
      <c r="BF144" s="16">
        <v>93</v>
      </c>
      <c r="BG144" s="13" t="s">
        <v>2048</v>
      </c>
      <c r="BH144" s="13" t="s">
        <v>69</v>
      </c>
      <c r="BI144" s="13" t="s">
        <v>69</v>
      </c>
      <c r="BJ144" s="15">
        <v>2014</v>
      </c>
      <c r="BK144" s="13" t="s">
        <v>69</v>
      </c>
      <c r="BL144" s="14">
        <v>45610</v>
      </c>
      <c r="BM144" s="13" t="s">
        <v>69</v>
      </c>
      <c r="BN144" s="13" t="s">
        <v>69</v>
      </c>
      <c r="BO144" s="11" t="str">
        <f>HYPERLINK("https://my.pitchbook.com?c=606790-90","View Company Online")</f>
        <v>View Company Online</v>
      </c>
    </row>
    <row r="145" spans="1:67" x14ac:dyDescent="0.3">
      <c r="A145" s="3" t="s">
        <v>2049</v>
      </c>
      <c r="B145" s="3" t="s">
        <v>2050</v>
      </c>
      <c r="C145" s="3" t="s">
        <v>69</v>
      </c>
      <c r="D145" s="5" t="s">
        <v>69</v>
      </c>
      <c r="E145" s="3" t="s">
        <v>69</v>
      </c>
      <c r="F145" s="3" t="s">
        <v>69</v>
      </c>
      <c r="G145" s="3" t="s">
        <v>69</v>
      </c>
      <c r="H145" s="3" t="s">
        <v>69</v>
      </c>
      <c r="I145" s="4" t="s">
        <v>69</v>
      </c>
      <c r="J145" s="7" t="s">
        <v>69</v>
      </c>
      <c r="K145" s="4" t="s">
        <v>69</v>
      </c>
      <c r="L145" s="4" t="s">
        <v>69</v>
      </c>
      <c r="M145" s="4" t="s">
        <v>69</v>
      </c>
      <c r="N145" s="4" t="s">
        <v>69</v>
      </c>
      <c r="O145" s="4" t="s">
        <v>69</v>
      </c>
      <c r="P145" s="4" t="s">
        <v>69</v>
      </c>
      <c r="Q145" s="4" t="s">
        <v>69</v>
      </c>
      <c r="R145" s="6" t="s">
        <v>69</v>
      </c>
      <c r="S145" s="3" t="s">
        <v>69</v>
      </c>
      <c r="T145" s="3" t="s">
        <v>69</v>
      </c>
      <c r="U145" s="3" t="s">
        <v>69</v>
      </c>
      <c r="V145" s="3" t="s">
        <v>69</v>
      </c>
      <c r="W145" s="3" t="s">
        <v>69</v>
      </c>
      <c r="X145" s="3" t="s">
        <v>354</v>
      </c>
      <c r="Y145" s="3" t="s">
        <v>2051</v>
      </c>
      <c r="Z145" s="3" t="s">
        <v>69</v>
      </c>
      <c r="AA145" s="3" t="s">
        <v>356</v>
      </c>
      <c r="AB145" s="3" t="s">
        <v>2052</v>
      </c>
      <c r="AC145" s="6" t="s">
        <v>2053</v>
      </c>
      <c r="AD145" s="3" t="s">
        <v>358</v>
      </c>
      <c r="AE145" s="6" t="s">
        <v>69</v>
      </c>
      <c r="AF145" s="6" t="s">
        <v>69</v>
      </c>
      <c r="AG145" s="3" t="s">
        <v>2054</v>
      </c>
      <c r="AH145" s="3" t="s">
        <v>78</v>
      </c>
      <c r="AI145" s="3" t="s">
        <v>359</v>
      </c>
      <c r="AJ145" s="3" t="s">
        <v>69</v>
      </c>
      <c r="AK145" s="3" t="s">
        <v>69</v>
      </c>
      <c r="AL145" s="3" t="s">
        <v>69</v>
      </c>
      <c r="AM145" s="3" t="s">
        <v>69</v>
      </c>
      <c r="AN145" s="3" t="s">
        <v>69</v>
      </c>
      <c r="AO145" s="3" t="s">
        <v>69</v>
      </c>
      <c r="AP145" s="3" t="s">
        <v>2049</v>
      </c>
      <c r="AQ145" s="3" t="s">
        <v>2055</v>
      </c>
      <c r="AR145" s="3" t="s">
        <v>422</v>
      </c>
      <c r="AS145" s="3" t="s">
        <v>986</v>
      </c>
      <c r="AT145" s="3" t="s">
        <v>987</v>
      </c>
      <c r="AU145" s="3" t="s">
        <v>988</v>
      </c>
      <c r="AV145" s="3" t="s">
        <v>69</v>
      </c>
      <c r="AW145" s="3" t="s">
        <v>2056</v>
      </c>
      <c r="AX145" s="3" t="s">
        <v>69</v>
      </c>
      <c r="AY145" s="3" t="s">
        <v>90</v>
      </c>
      <c r="AZ145" s="8" t="s">
        <v>69</v>
      </c>
      <c r="BA145" s="3" t="s">
        <v>69</v>
      </c>
      <c r="BB145" s="3" t="s">
        <v>92</v>
      </c>
      <c r="BC145" s="3" t="s">
        <v>93</v>
      </c>
      <c r="BD145" s="12" t="str">
        <f>HYPERLINK("http://mudita.com","mudita.com")</f>
        <v>mudita.com</v>
      </c>
      <c r="BE145" s="12" t="str">
        <f>HYPERLINK("http://www.linkedin.com/company/wearemudita","http://www.linkedin.com/company/wearemudita")</f>
        <v>http://www.linkedin.com/company/wearemudita</v>
      </c>
      <c r="BF145" s="9">
        <v>83</v>
      </c>
      <c r="BG145" s="3" t="s">
        <v>1560</v>
      </c>
      <c r="BH145" s="3" t="s">
        <v>69</v>
      </c>
      <c r="BI145" s="3" t="s">
        <v>69</v>
      </c>
      <c r="BJ145" s="10">
        <v>2013</v>
      </c>
      <c r="BK145" s="3" t="s">
        <v>69</v>
      </c>
      <c r="BL145" s="1">
        <v>45301</v>
      </c>
      <c r="BM145" s="3" t="s">
        <v>69</v>
      </c>
      <c r="BN145" s="3" t="s">
        <v>69</v>
      </c>
      <c r="BO145" s="12" t="str">
        <f>HYPERLINK("https://my.pitchbook.com?c=550816-21","View Company Online")</f>
        <v>View Company Online</v>
      </c>
    </row>
    <row r="146" spans="1:67" x14ac:dyDescent="0.3">
      <c r="A146" s="13" t="s">
        <v>2057</v>
      </c>
      <c r="B146" s="13" t="s">
        <v>2058</v>
      </c>
      <c r="C146" s="13" t="s">
        <v>69</v>
      </c>
      <c r="D146" s="21" t="s">
        <v>69</v>
      </c>
      <c r="E146" s="13" t="s">
        <v>69</v>
      </c>
      <c r="F146" s="13" t="s">
        <v>69</v>
      </c>
      <c r="G146" s="13" t="s">
        <v>69</v>
      </c>
      <c r="H146" s="13" t="s">
        <v>69</v>
      </c>
      <c r="I146" s="19" t="s">
        <v>69</v>
      </c>
      <c r="J146" s="20" t="s">
        <v>69</v>
      </c>
      <c r="K146" s="19" t="s">
        <v>69</v>
      </c>
      <c r="L146" s="19" t="s">
        <v>69</v>
      </c>
      <c r="M146" s="19" t="s">
        <v>69</v>
      </c>
      <c r="N146" s="19" t="s">
        <v>69</v>
      </c>
      <c r="O146" s="19" t="s">
        <v>69</v>
      </c>
      <c r="P146" s="19" t="s">
        <v>69</v>
      </c>
      <c r="Q146" s="19" t="s">
        <v>69</v>
      </c>
      <c r="R146" s="18" t="s">
        <v>69</v>
      </c>
      <c r="S146" s="13" t="s">
        <v>69</v>
      </c>
      <c r="T146" s="13" t="s">
        <v>69</v>
      </c>
      <c r="U146" s="13" t="s">
        <v>69</v>
      </c>
      <c r="V146" s="13" t="s">
        <v>69</v>
      </c>
      <c r="W146" s="13" t="s">
        <v>69</v>
      </c>
      <c r="X146" s="13" t="s">
        <v>1780</v>
      </c>
      <c r="Y146" s="13" t="s">
        <v>69</v>
      </c>
      <c r="Z146" s="13" t="s">
        <v>69</v>
      </c>
      <c r="AA146" s="13" t="s">
        <v>69</v>
      </c>
      <c r="AB146" s="13" t="s">
        <v>69</v>
      </c>
      <c r="AC146" s="18" t="s">
        <v>69</v>
      </c>
      <c r="AD146" s="13" t="s">
        <v>1780</v>
      </c>
      <c r="AE146" s="18" t="s">
        <v>69</v>
      </c>
      <c r="AF146" s="18" t="s">
        <v>69</v>
      </c>
      <c r="AG146" s="13" t="s">
        <v>69</v>
      </c>
      <c r="AH146" s="13" t="s">
        <v>446</v>
      </c>
      <c r="AI146" s="13" t="s">
        <v>1771</v>
      </c>
      <c r="AJ146" s="13" t="s">
        <v>69</v>
      </c>
      <c r="AK146" s="13" t="s">
        <v>69</v>
      </c>
      <c r="AL146" s="13" t="s">
        <v>69</v>
      </c>
      <c r="AM146" s="13" t="s">
        <v>69</v>
      </c>
      <c r="AN146" s="13" t="s">
        <v>69</v>
      </c>
      <c r="AO146" s="13" t="s">
        <v>69</v>
      </c>
      <c r="AP146" s="13" t="s">
        <v>2057</v>
      </c>
      <c r="AQ146" s="13" t="s">
        <v>2059</v>
      </c>
      <c r="AR146" s="13" t="s">
        <v>422</v>
      </c>
      <c r="AS146" s="13" t="s">
        <v>423</v>
      </c>
      <c r="AT146" s="13" t="s">
        <v>1339</v>
      </c>
      <c r="AU146" s="13" t="s">
        <v>1340</v>
      </c>
      <c r="AV146" s="13" t="s">
        <v>69</v>
      </c>
      <c r="AW146" s="13" t="s">
        <v>69</v>
      </c>
      <c r="AX146" s="13" t="s">
        <v>69</v>
      </c>
      <c r="AY146" s="13" t="s">
        <v>90</v>
      </c>
      <c r="AZ146" s="17" t="s">
        <v>69</v>
      </c>
      <c r="BA146" s="13" t="s">
        <v>69</v>
      </c>
      <c r="BB146" s="13" t="s">
        <v>92</v>
      </c>
      <c r="BC146" s="13" t="s">
        <v>93</v>
      </c>
      <c r="BD146" s="11" t="str">
        <f>HYPERLINK("http://myn.global","myn.global")</f>
        <v>myn.global</v>
      </c>
      <c r="BE146" s="11" t="str">
        <f>HYPERLINK("http://www.linkedin.com/company/myn-app","http://www.linkedin.com/company/myn-app")</f>
        <v>http://www.linkedin.com/company/myn-app</v>
      </c>
      <c r="BF146" s="16">
        <v>116</v>
      </c>
      <c r="BG146" s="13" t="s">
        <v>2060</v>
      </c>
      <c r="BH146" s="13" t="s">
        <v>69</v>
      </c>
      <c r="BI146" s="13" t="s">
        <v>69</v>
      </c>
      <c r="BJ146" s="15">
        <v>2021</v>
      </c>
      <c r="BK146" s="13" t="s">
        <v>69</v>
      </c>
      <c r="BL146" s="14">
        <v>45359</v>
      </c>
      <c r="BM146" s="13" t="s">
        <v>69</v>
      </c>
      <c r="BN146" s="13" t="s">
        <v>69</v>
      </c>
      <c r="BO146" s="11" t="str">
        <f>HYPERLINK("https://my.pitchbook.com?c=566899-30","View Company Online")</f>
        <v>View Company Online</v>
      </c>
    </row>
    <row r="147" spans="1:67" x14ac:dyDescent="0.3">
      <c r="A147" s="3" t="s">
        <v>2061</v>
      </c>
      <c r="B147" s="3" t="s">
        <v>2062</v>
      </c>
      <c r="C147" s="3" t="s">
        <v>69</v>
      </c>
      <c r="D147" s="5" t="s">
        <v>69</v>
      </c>
      <c r="E147" s="3" t="s">
        <v>69</v>
      </c>
      <c r="F147" s="3" t="s">
        <v>69</v>
      </c>
      <c r="G147" s="3" t="s">
        <v>69</v>
      </c>
      <c r="H147" s="3" t="s">
        <v>69</v>
      </c>
      <c r="I147" s="4" t="s">
        <v>69</v>
      </c>
      <c r="J147" s="7" t="s">
        <v>69</v>
      </c>
      <c r="K147" s="4" t="s">
        <v>69</v>
      </c>
      <c r="L147" s="4" t="s">
        <v>69</v>
      </c>
      <c r="M147" s="4" t="s">
        <v>69</v>
      </c>
      <c r="N147" s="4" t="s">
        <v>69</v>
      </c>
      <c r="O147" s="4" t="s">
        <v>69</v>
      </c>
      <c r="P147" s="4" t="s">
        <v>69</v>
      </c>
      <c r="Q147" s="4" t="s">
        <v>69</v>
      </c>
      <c r="R147" s="6" t="s">
        <v>69</v>
      </c>
      <c r="S147" s="3" t="s">
        <v>69</v>
      </c>
      <c r="T147" s="3" t="s">
        <v>69</v>
      </c>
      <c r="U147" s="3" t="s">
        <v>69</v>
      </c>
      <c r="V147" s="3" t="s">
        <v>69</v>
      </c>
      <c r="W147" s="3" t="s">
        <v>69</v>
      </c>
      <c r="X147" s="3" t="s">
        <v>69</v>
      </c>
      <c r="Y147" s="3" t="s">
        <v>69</v>
      </c>
      <c r="Z147" s="3" t="s">
        <v>69</v>
      </c>
      <c r="AA147" s="3" t="s">
        <v>69</v>
      </c>
      <c r="AB147" s="3" t="s">
        <v>69</v>
      </c>
      <c r="AC147" s="6" t="s">
        <v>69</v>
      </c>
      <c r="AD147" s="3" t="s">
        <v>69</v>
      </c>
      <c r="AE147" s="6" t="s">
        <v>69</v>
      </c>
      <c r="AF147" s="6" t="s">
        <v>69</v>
      </c>
      <c r="AG147" s="3" t="s">
        <v>69</v>
      </c>
      <c r="AH147" s="3" t="s">
        <v>69</v>
      </c>
      <c r="AI147" s="3" t="s">
        <v>69</v>
      </c>
      <c r="AJ147" s="3" t="s">
        <v>69</v>
      </c>
      <c r="AK147" s="3" t="s">
        <v>69</v>
      </c>
      <c r="AL147" s="3" t="s">
        <v>69</v>
      </c>
      <c r="AM147" s="3" t="s">
        <v>69</v>
      </c>
      <c r="AN147" s="3" t="s">
        <v>69</v>
      </c>
      <c r="AO147" s="3" t="s">
        <v>69</v>
      </c>
      <c r="AP147" s="3" t="s">
        <v>2061</v>
      </c>
      <c r="AQ147" s="3" t="s">
        <v>2063</v>
      </c>
      <c r="AR147" s="3" t="s">
        <v>85</v>
      </c>
      <c r="AS147" s="3" t="s">
        <v>86</v>
      </c>
      <c r="AT147" s="3" t="s">
        <v>168</v>
      </c>
      <c r="AU147" s="3" t="s">
        <v>169</v>
      </c>
      <c r="AV147" s="3" t="s">
        <v>626</v>
      </c>
      <c r="AW147" s="3" t="s">
        <v>2064</v>
      </c>
      <c r="AX147" s="3" t="s">
        <v>69</v>
      </c>
      <c r="AY147" s="3" t="s">
        <v>90</v>
      </c>
      <c r="AZ147" s="8" t="s">
        <v>69</v>
      </c>
      <c r="BA147" s="3" t="s">
        <v>69</v>
      </c>
      <c r="BB147" s="3" t="s">
        <v>92</v>
      </c>
      <c r="BC147" s="3" t="s">
        <v>93</v>
      </c>
      <c r="BD147" s="12" t="str">
        <f>HYPERLINK("http://almalki.com","almalki.com")</f>
        <v>almalki.com</v>
      </c>
      <c r="BE147" s="12" t="str">
        <f>HYPERLINK("http://www.linkedin.com/company/almalki-group","http://www.linkedin.com/company/almalki-group")</f>
        <v>http://www.linkedin.com/company/almalki-group</v>
      </c>
      <c r="BF147" s="9">
        <v>1600</v>
      </c>
      <c r="BG147" s="3" t="s">
        <v>2065</v>
      </c>
      <c r="BH147" s="3" t="s">
        <v>69</v>
      </c>
      <c r="BI147" s="3" t="s">
        <v>69</v>
      </c>
      <c r="BJ147" s="10" t="s">
        <v>69</v>
      </c>
      <c r="BK147" s="3" t="s">
        <v>69</v>
      </c>
      <c r="BL147" s="1">
        <v>45135</v>
      </c>
      <c r="BM147" s="3" t="s">
        <v>69</v>
      </c>
      <c r="BN147" s="3" t="s">
        <v>69</v>
      </c>
      <c r="BO147" s="12" t="str">
        <f>HYPERLINK("https://my.pitchbook.com?c=134172-82","View Company Online")</f>
        <v>View Company Online</v>
      </c>
    </row>
    <row r="148" spans="1:67" x14ac:dyDescent="0.3">
      <c r="A148" s="13" t="s">
        <v>2066</v>
      </c>
      <c r="B148" s="13" t="s">
        <v>2067</v>
      </c>
      <c r="C148" s="13" t="s">
        <v>69</v>
      </c>
      <c r="D148" s="21" t="s">
        <v>69</v>
      </c>
      <c r="E148" s="13" t="s">
        <v>69</v>
      </c>
      <c r="F148" s="13" t="s">
        <v>69</v>
      </c>
      <c r="G148" s="13" t="s">
        <v>69</v>
      </c>
      <c r="H148" s="13" t="s">
        <v>69</v>
      </c>
      <c r="I148" s="19" t="s">
        <v>69</v>
      </c>
      <c r="J148" s="20" t="s">
        <v>69</v>
      </c>
      <c r="K148" s="19" t="s">
        <v>69</v>
      </c>
      <c r="L148" s="19" t="s">
        <v>69</v>
      </c>
      <c r="M148" s="19" t="s">
        <v>69</v>
      </c>
      <c r="N148" s="19" t="s">
        <v>69</v>
      </c>
      <c r="O148" s="19" t="s">
        <v>69</v>
      </c>
      <c r="P148" s="19" t="s">
        <v>69</v>
      </c>
      <c r="Q148" s="19" t="s">
        <v>69</v>
      </c>
      <c r="R148" s="18" t="s">
        <v>69</v>
      </c>
      <c r="S148" s="13" t="s">
        <v>2068</v>
      </c>
      <c r="T148" s="13" t="s">
        <v>2069</v>
      </c>
      <c r="U148" s="13" t="s">
        <v>1639</v>
      </c>
      <c r="V148" s="13" t="s">
        <v>2070</v>
      </c>
      <c r="W148" s="13" t="s">
        <v>2071</v>
      </c>
      <c r="X148" s="13" t="s">
        <v>2072</v>
      </c>
      <c r="Y148" s="13" t="s">
        <v>2073</v>
      </c>
      <c r="Z148" s="13" t="s">
        <v>69</v>
      </c>
      <c r="AA148" s="13" t="s">
        <v>2074</v>
      </c>
      <c r="AB148" s="13" t="s">
        <v>69</v>
      </c>
      <c r="AC148" s="18" t="s">
        <v>2075</v>
      </c>
      <c r="AD148" s="13" t="s">
        <v>2076</v>
      </c>
      <c r="AE148" s="18" t="s">
        <v>2071</v>
      </c>
      <c r="AF148" s="18" t="s">
        <v>2077</v>
      </c>
      <c r="AG148" s="13" t="s">
        <v>69</v>
      </c>
      <c r="AH148" s="13" t="s">
        <v>446</v>
      </c>
      <c r="AI148" s="13" t="s">
        <v>447</v>
      </c>
      <c r="AJ148" s="13" t="s">
        <v>69</v>
      </c>
      <c r="AK148" s="13" t="s">
        <v>69</v>
      </c>
      <c r="AL148" s="13" t="s">
        <v>2078</v>
      </c>
      <c r="AM148" s="13" t="s">
        <v>69</v>
      </c>
      <c r="AN148" s="13" t="s">
        <v>69</v>
      </c>
      <c r="AO148" s="13" t="s">
        <v>69</v>
      </c>
      <c r="AP148" s="13" t="s">
        <v>2066</v>
      </c>
      <c r="AQ148" s="13" t="s">
        <v>2079</v>
      </c>
      <c r="AR148" s="13" t="s">
        <v>185</v>
      </c>
      <c r="AS148" s="13" t="s">
        <v>348</v>
      </c>
      <c r="AT148" s="13" t="s">
        <v>698</v>
      </c>
      <c r="AU148" s="13" t="s">
        <v>2080</v>
      </c>
      <c r="AV148" s="13" t="s">
        <v>69</v>
      </c>
      <c r="AW148" s="13" t="s">
        <v>2081</v>
      </c>
      <c r="AX148" s="13" t="s">
        <v>69</v>
      </c>
      <c r="AY148" s="13" t="s">
        <v>90</v>
      </c>
      <c r="AZ148" s="17" t="s">
        <v>69</v>
      </c>
      <c r="BA148" s="13" t="s">
        <v>91</v>
      </c>
      <c r="BB148" s="13" t="s">
        <v>92</v>
      </c>
      <c r="BC148" s="13" t="s">
        <v>93</v>
      </c>
      <c r="BD148" s="11" t="str">
        <f>HYPERLINK("http://www.nihondento.com","www.nihondento.com")</f>
        <v>www.nihondento.com</v>
      </c>
      <c r="BE148" s="13" t="s">
        <v>69</v>
      </c>
      <c r="BF148" s="16">
        <v>61</v>
      </c>
      <c r="BG148" s="13" t="s">
        <v>2082</v>
      </c>
      <c r="BH148" s="13" t="s">
        <v>69</v>
      </c>
      <c r="BI148" s="13" t="s">
        <v>69</v>
      </c>
      <c r="BJ148" s="15">
        <v>1958</v>
      </c>
      <c r="BK148" s="13" t="s">
        <v>69</v>
      </c>
      <c r="BL148" s="14">
        <v>45456</v>
      </c>
      <c r="BM148" s="13" t="s">
        <v>69</v>
      </c>
      <c r="BN148" s="13" t="s">
        <v>69</v>
      </c>
      <c r="BO148" s="11" t="str">
        <f>HYPERLINK("https://my.pitchbook.com?c=599957-11","View Company Online")</f>
        <v>View Company Online</v>
      </c>
    </row>
    <row r="149" spans="1:67" x14ac:dyDescent="0.3">
      <c r="A149" s="3" t="s">
        <v>2083</v>
      </c>
      <c r="B149" s="3" t="s">
        <v>2084</v>
      </c>
      <c r="C149" s="3" t="s">
        <v>69</v>
      </c>
      <c r="D149" s="5" t="s">
        <v>69</v>
      </c>
      <c r="E149" s="3" t="s">
        <v>69</v>
      </c>
      <c r="F149" s="3" t="s">
        <v>69</v>
      </c>
      <c r="G149" s="3" t="s">
        <v>69</v>
      </c>
      <c r="H149" s="3" t="s">
        <v>69</v>
      </c>
      <c r="I149" s="4" t="s">
        <v>69</v>
      </c>
      <c r="J149" s="7" t="s">
        <v>69</v>
      </c>
      <c r="K149" s="4" t="s">
        <v>69</v>
      </c>
      <c r="L149" s="4" t="s">
        <v>69</v>
      </c>
      <c r="M149" s="4" t="s">
        <v>69</v>
      </c>
      <c r="N149" s="4" t="s">
        <v>69</v>
      </c>
      <c r="O149" s="4" t="s">
        <v>69</v>
      </c>
      <c r="P149" s="4" t="s">
        <v>69</v>
      </c>
      <c r="Q149" s="4">
        <v>0</v>
      </c>
      <c r="R149" s="6" t="s">
        <v>156</v>
      </c>
      <c r="S149" s="3" t="s">
        <v>69</v>
      </c>
      <c r="T149" s="3" t="s">
        <v>69</v>
      </c>
      <c r="U149" s="3" t="s">
        <v>69</v>
      </c>
      <c r="V149" s="3" t="s">
        <v>69</v>
      </c>
      <c r="W149" s="3" t="s">
        <v>69</v>
      </c>
      <c r="X149" s="3" t="s">
        <v>2085</v>
      </c>
      <c r="Y149" s="3" t="s">
        <v>2086</v>
      </c>
      <c r="Z149" s="3" t="s">
        <v>69</v>
      </c>
      <c r="AA149" s="3" t="s">
        <v>2087</v>
      </c>
      <c r="AB149" s="3" t="s">
        <v>222</v>
      </c>
      <c r="AC149" s="6" t="s">
        <v>2088</v>
      </c>
      <c r="AD149" s="3" t="s">
        <v>162</v>
      </c>
      <c r="AE149" s="6" t="s">
        <v>69</v>
      </c>
      <c r="AF149" s="6" t="s">
        <v>69</v>
      </c>
      <c r="AG149" s="3" t="s">
        <v>69</v>
      </c>
      <c r="AH149" s="3" t="s">
        <v>78</v>
      </c>
      <c r="AI149" s="3" t="s">
        <v>132</v>
      </c>
      <c r="AJ149" s="3" t="s">
        <v>69</v>
      </c>
      <c r="AK149" s="3" t="s">
        <v>69</v>
      </c>
      <c r="AL149" s="3" t="s">
        <v>2089</v>
      </c>
      <c r="AM149" s="3" t="s">
        <v>2090</v>
      </c>
      <c r="AN149" s="3" t="s">
        <v>165</v>
      </c>
      <c r="AO149" s="3" t="s">
        <v>69</v>
      </c>
      <c r="AP149" s="3" t="s">
        <v>2083</v>
      </c>
      <c r="AQ149" s="3" t="s">
        <v>2091</v>
      </c>
      <c r="AR149" s="3" t="s">
        <v>85</v>
      </c>
      <c r="AS149" s="3" t="s">
        <v>86</v>
      </c>
      <c r="AT149" s="3" t="s">
        <v>87</v>
      </c>
      <c r="AU149" s="3" t="s">
        <v>112</v>
      </c>
      <c r="AV149" s="3" t="s">
        <v>69</v>
      </c>
      <c r="AW149" s="3" t="s">
        <v>69</v>
      </c>
      <c r="AX149" s="3" t="s">
        <v>69</v>
      </c>
      <c r="AY149" s="3" t="s">
        <v>90</v>
      </c>
      <c r="AZ149" s="8" t="s">
        <v>69</v>
      </c>
      <c r="BA149" s="3" t="s">
        <v>69</v>
      </c>
      <c r="BB149" s="3" t="s">
        <v>92</v>
      </c>
      <c r="BC149" s="3" t="s">
        <v>93</v>
      </c>
      <c r="BD149" s="12" t="str">
        <f>HYPERLINK("http://mayspawnbrokers.co.uk","mayspawnbrokers.co.uk")</f>
        <v>mayspawnbrokers.co.uk</v>
      </c>
      <c r="BE149" s="3" t="s">
        <v>69</v>
      </c>
      <c r="BF149" s="9">
        <v>50</v>
      </c>
      <c r="BG149" s="3" t="s">
        <v>2092</v>
      </c>
      <c r="BH149" s="3" t="s">
        <v>69</v>
      </c>
      <c r="BI149" s="3" t="s">
        <v>69</v>
      </c>
      <c r="BJ149" s="10">
        <v>1977</v>
      </c>
      <c r="BK149" s="3" t="s">
        <v>69</v>
      </c>
      <c r="BL149" s="1">
        <v>45647</v>
      </c>
      <c r="BM149" s="3" t="s">
        <v>69</v>
      </c>
      <c r="BN149" s="3" t="s">
        <v>69</v>
      </c>
      <c r="BO149" s="12" t="str">
        <f>HYPERLINK("https://my.pitchbook.com?c=595484-92","View Company Online")</f>
        <v>View Company Online</v>
      </c>
    </row>
    <row r="150" spans="1:67" x14ac:dyDescent="0.3">
      <c r="A150" s="13" t="s">
        <v>2093</v>
      </c>
      <c r="B150" s="13" t="s">
        <v>2094</v>
      </c>
      <c r="C150" s="13" t="s">
        <v>69</v>
      </c>
      <c r="D150" s="21" t="s">
        <v>69</v>
      </c>
      <c r="E150" s="13" t="s">
        <v>69</v>
      </c>
      <c r="F150" s="13" t="s">
        <v>69</v>
      </c>
      <c r="G150" s="13" t="s">
        <v>69</v>
      </c>
      <c r="H150" s="13" t="s">
        <v>69</v>
      </c>
      <c r="I150" s="19" t="s">
        <v>69</v>
      </c>
      <c r="J150" s="20" t="s">
        <v>69</v>
      </c>
      <c r="K150" s="19" t="s">
        <v>69</v>
      </c>
      <c r="L150" s="19" t="s">
        <v>69</v>
      </c>
      <c r="M150" s="19" t="s">
        <v>69</v>
      </c>
      <c r="N150" s="19" t="s">
        <v>69</v>
      </c>
      <c r="O150" s="19" t="s">
        <v>69</v>
      </c>
      <c r="P150" s="19" t="s">
        <v>69</v>
      </c>
      <c r="Q150" s="19" t="s">
        <v>69</v>
      </c>
      <c r="R150" s="18" t="s">
        <v>69</v>
      </c>
      <c r="S150" s="13" t="s">
        <v>69</v>
      </c>
      <c r="T150" s="13" t="s">
        <v>69</v>
      </c>
      <c r="U150" s="13" t="s">
        <v>69</v>
      </c>
      <c r="V150" s="13" t="s">
        <v>69</v>
      </c>
      <c r="W150" s="13" t="s">
        <v>69</v>
      </c>
      <c r="X150" s="13" t="s">
        <v>2095</v>
      </c>
      <c r="Y150" s="13" t="s">
        <v>2096</v>
      </c>
      <c r="Z150" s="13" t="s">
        <v>69</v>
      </c>
      <c r="AA150" s="13" t="s">
        <v>2097</v>
      </c>
      <c r="AB150" s="13" t="s">
        <v>850</v>
      </c>
      <c r="AC150" s="18" t="s">
        <v>2098</v>
      </c>
      <c r="AD150" s="13" t="s">
        <v>378</v>
      </c>
      <c r="AE150" s="18" t="s">
        <v>2099</v>
      </c>
      <c r="AF150" s="18" t="s">
        <v>69</v>
      </c>
      <c r="AG150" s="13" t="s">
        <v>69</v>
      </c>
      <c r="AH150" s="13" t="s">
        <v>379</v>
      </c>
      <c r="AI150" s="13" t="s">
        <v>380</v>
      </c>
      <c r="AJ150" s="13" t="s">
        <v>69</v>
      </c>
      <c r="AK150" s="13" t="s">
        <v>2100</v>
      </c>
      <c r="AL150" s="13" t="s">
        <v>69</v>
      </c>
      <c r="AM150" s="13" t="s">
        <v>69</v>
      </c>
      <c r="AN150" s="13" t="s">
        <v>69</v>
      </c>
      <c r="AO150" s="13" t="s">
        <v>69</v>
      </c>
      <c r="AP150" s="13" t="s">
        <v>2093</v>
      </c>
      <c r="AQ150" s="13" t="s">
        <v>2101</v>
      </c>
      <c r="AR150" s="13" t="s">
        <v>383</v>
      </c>
      <c r="AS150" s="13" t="s">
        <v>384</v>
      </c>
      <c r="AT150" s="13" t="s">
        <v>811</v>
      </c>
      <c r="AU150" s="13" t="s">
        <v>2102</v>
      </c>
      <c r="AV150" s="13" t="s">
        <v>69</v>
      </c>
      <c r="AW150" s="13" t="s">
        <v>69</v>
      </c>
      <c r="AX150" s="13" t="s">
        <v>69</v>
      </c>
      <c r="AY150" s="13" t="s">
        <v>90</v>
      </c>
      <c r="AZ150" s="17" t="s">
        <v>69</v>
      </c>
      <c r="BA150" s="13" t="s">
        <v>91</v>
      </c>
      <c r="BB150" s="13" t="s">
        <v>92</v>
      </c>
      <c r="BC150" s="13" t="s">
        <v>93</v>
      </c>
      <c r="BD150" s="11" t="str">
        <f>HYPERLINK("http://assistanceihc.com","assistanceihc.com")</f>
        <v>assistanceihc.com</v>
      </c>
      <c r="BE150" s="13" t="s">
        <v>69</v>
      </c>
      <c r="BF150" s="16">
        <v>52</v>
      </c>
      <c r="BG150" s="13" t="s">
        <v>2103</v>
      </c>
      <c r="BH150" s="13" t="s">
        <v>69</v>
      </c>
      <c r="BI150" s="13" t="s">
        <v>69</v>
      </c>
      <c r="BJ150" s="15">
        <v>2007</v>
      </c>
      <c r="BK150" s="13" t="s">
        <v>69</v>
      </c>
      <c r="BL150" s="14">
        <v>45713</v>
      </c>
      <c r="BM150" s="13" t="s">
        <v>69</v>
      </c>
      <c r="BN150" s="13" t="s">
        <v>69</v>
      </c>
      <c r="BO150" s="11" t="str">
        <f>HYPERLINK("https://my.pitchbook.com?c=347839-12","View Company Online")</f>
        <v>View Company Online</v>
      </c>
    </row>
    <row r="151" spans="1:67" x14ac:dyDescent="0.3">
      <c r="A151" s="3" t="s">
        <v>2104</v>
      </c>
      <c r="B151" s="3" t="s">
        <v>2105</v>
      </c>
      <c r="C151" s="3" t="s">
        <v>69</v>
      </c>
      <c r="D151" s="5" t="s">
        <v>69</v>
      </c>
      <c r="E151" s="3" t="s">
        <v>69</v>
      </c>
      <c r="F151" s="3" t="s">
        <v>69</v>
      </c>
      <c r="G151" s="3" t="s">
        <v>69</v>
      </c>
      <c r="H151" s="3" t="s">
        <v>69</v>
      </c>
      <c r="I151" s="4" t="s">
        <v>69</v>
      </c>
      <c r="J151" s="7" t="s">
        <v>69</v>
      </c>
      <c r="K151" s="4" t="s">
        <v>69</v>
      </c>
      <c r="L151" s="4" t="s">
        <v>69</v>
      </c>
      <c r="M151" s="4" t="s">
        <v>69</v>
      </c>
      <c r="N151" s="4" t="s">
        <v>69</v>
      </c>
      <c r="O151" s="4" t="s">
        <v>69</v>
      </c>
      <c r="P151" s="4" t="s">
        <v>69</v>
      </c>
      <c r="Q151" s="4" t="s">
        <v>69</v>
      </c>
      <c r="R151" s="6" t="s">
        <v>69</v>
      </c>
      <c r="S151" s="3" t="s">
        <v>69</v>
      </c>
      <c r="T151" s="3" t="s">
        <v>69</v>
      </c>
      <c r="U151" s="3" t="s">
        <v>69</v>
      </c>
      <c r="V151" s="3" t="s">
        <v>69</v>
      </c>
      <c r="W151" s="3" t="s">
        <v>69</v>
      </c>
      <c r="X151" s="3" t="s">
        <v>2106</v>
      </c>
      <c r="Y151" s="3" t="s">
        <v>2107</v>
      </c>
      <c r="Z151" s="3" t="s">
        <v>69</v>
      </c>
      <c r="AA151" s="3" t="s">
        <v>2108</v>
      </c>
      <c r="AB151" s="3" t="s">
        <v>1142</v>
      </c>
      <c r="AC151" s="6" t="s">
        <v>2109</v>
      </c>
      <c r="AD151" s="3" t="s">
        <v>378</v>
      </c>
      <c r="AE151" s="6" t="s">
        <v>69</v>
      </c>
      <c r="AF151" s="6" t="s">
        <v>69</v>
      </c>
      <c r="AG151" s="3" t="s">
        <v>69</v>
      </c>
      <c r="AH151" s="3" t="s">
        <v>379</v>
      </c>
      <c r="AI151" s="3" t="s">
        <v>380</v>
      </c>
      <c r="AJ151" s="3" t="s">
        <v>69</v>
      </c>
      <c r="AK151" s="3" t="s">
        <v>69</v>
      </c>
      <c r="AL151" s="3" t="s">
        <v>69</v>
      </c>
      <c r="AM151" s="3" t="s">
        <v>69</v>
      </c>
      <c r="AN151" s="3" t="s">
        <v>69</v>
      </c>
      <c r="AO151" s="3" t="s">
        <v>69</v>
      </c>
      <c r="AP151" s="3" t="s">
        <v>2104</v>
      </c>
      <c r="AQ151" s="3" t="s">
        <v>2110</v>
      </c>
      <c r="AR151" s="3" t="s">
        <v>85</v>
      </c>
      <c r="AS151" s="3" t="s">
        <v>711</v>
      </c>
      <c r="AT151" s="3" t="s">
        <v>712</v>
      </c>
      <c r="AU151" s="3" t="s">
        <v>1558</v>
      </c>
      <c r="AV151" s="3" t="s">
        <v>69</v>
      </c>
      <c r="AW151" s="3" t="s">
        <v>69</v>
      </c>
      <c r="AX151" s="3" t="s">
        <v>69</v>
      </c>
      <c r="AY151" s="3" t="s">
        <v>90</v>
      </c>
      <c r="AZ151" s="8" t="s">
        <v>69</v>
      </c>
      <c r="BA151" s="3" t="s">
        <v>69</v>
      </c>
      <c r="BB151" s="3" t="s">
        <v>92</v>
      </c>
      <c r="BC151" s="3" t="s">
        <v>93</v>
      </c>
      <c r="BD151" s="12" t="str">
        <f>HYPERLINK("http://pelhamhouseresort.com","pelhamhouseresort.com")</f>
        <v>pelhamhouseresort.com</v>
      </c>
      <c r="BE151" s="12" t="str">
        <f>HYPERLINK("http://www.linkedin.com/company/pelham-house-resort","http://www.linkedin.com/company/pelham-house-resort")</f>
        <v>http://www.linkedin.com/company/pelham-house-resort</v>
      </c>
      <c r="BF151" s="9">
        <v>59</v>
      </c>
      <c r="BG151" s="3" t="s">
        <v>2111</v>
      </c>
      <c r="BH151" s="3" t="s">
        <v>69</v>
      </c>
      <c r="BI151" s="3" t="s">
        <v>69</v>
      </c>
      <c r="BJ151" s="10">
        <v>1963</v>
      </c>
      <c r="BK151" s="3" t="s">
        <v>69</v>
      </c>
      <c r="BL151" s="1">
        <v>45320</v>
      </c>
      <c r="BM151" s="3" t="s">
        <v>69</v>
      </c>
      <c r="BN151" s="3" t="s">
        <v>69</v>
      </c>
      <c r="BO151" s="12" t="str">
        <f>HYPERLINK("https://my.pitchbook.com?c=569226-43","View Company Online")</f>
        <v>View Company Online</v>
      </c>
    </row>
    <row r="152" spans="1:67" x14ac:dyDescent="0.3">
      <c r="A152" s="13" t="s">
        <v>2112</v>
      </c>
      <c r="B152" s="13" t="s">
        <v>2113</v>
      </c>
      <c r="C152" s="13" t="s">
        <v>69</v>
      </c>
      <c r="D152" s="21" t="s">
        <v>69</v>
      </c>
      <c r="E152" s="13" t="s">
        <v>69</v>
      </c>
      <c r="F152" s="13" t="s">
        <v>69</v>
      </c>
      <c r="G152" s="13" t="s">
        <v>69</v>
      </c>
      <c r="H152" s="13" t="s">
        <v>69</v>
      </c>
      <c r="I152" s="19" t="s">
        <v>69</v>
      </c>
      <c r="J152" s="20" t="s">
        <v>69</v>
      </c>
      <c r="K152" s="19">
        <v>19.07</v>
      </c>
      <c r="L152" s="19">
        <v>0.62</v>
      </c>
      <c r="M152" s="19" t="s">
        <v>69</v>
      </c>
      <c r="N152" s="19">
        <v>2.2000000000000002</v>
      </c>
      <c r="O152" s="19">
        <v>1</v>
      </c>
      <c r="P152" s="19" t="s">
        <v>69</v>
      </c>
      <c r="Q152" s="19">
        <v>3.25</v>
      </c>
      <c r="R152" s="18" t="s">
        <v>70</v>
      </c>
      <c r="S152" s="13" t="s">
        <v>2114</v>
      </c>
      <c r="T152" s="13" t="s">
        <v>2115</v>
      </c>
      <c r="U152" s="13" t="s">
        <v>2116</v>
      </c>
      <c r="V152" s="13" t="s">
        <v>69</v>
      </c>
      <c r="W152" s="13" t="s">
        <v>2117</v>
      </c>
      <c r="X152" s="13" t="s">
        <v>2118</v>
      </c>
      <c r="Y152" s="13" t="s">
        <v>2119</v>
      </c>
      <c r="Z152" s="13" t="s">
        <v>69</v>
      </c>
      <c r="AA152" s="13" t="s">
        <v>2120</v>
      </c>
      <c r="AB152" s="13" t="s">
        <v>69</v>
      </c>
      <c r="AC152" s="18" t="s">
        <v>2121</v>
      </c>
      <c r="AD152" s="13" t="s">
        <v>128</v>
      </c>
      <c r="AE152" s="18" t="s">
        <v>2117</v>
      </c>
      <c r="AF152" s="18" t="s">
        <v>2122</v>
      </c>
      <c r="AG152" s="13" t="s">
        <v>2123</v>
      </c>
      <c r="AH152" s="13" t="s">
        <v>78</v>
      </c>
      <c r="AI152" s="13" t="s">
        <v>132</v>
      </c>
      <c r="AJ152" s="13" t="s">
        <v>2124</v>
      </c>
      <c r="AK152" s="13" t="s">
        <v>69</v>
      </c>
      <c r="AL152" s="13" t="s">
        <v>2125</v>
      </c>
      <c r="AM152" s="13" t="s">
        <v>2126</v>
      </c>
      <c r="AN152" s="13" t="s">
        <v>2127</v>
      </c>
      <c r="AO152" s="13" t="s">
        <v>69</v>
      </c>
      <c r="AP152" s="13" t="s">
        <v>2112</v>
      </c>
      <c r="AQ152" s="13" t="s">
        <v>2128</v>
      </c>
      <c r="AR152" s="13" t="s">
        <v>185</v>
      </c>
      <c r="AS152" s="13" t="s">
        <v>186</v>
      </c>
      <c r="AT152" s="13" t="s">
        <v>877</v>
      </c>
      <c r="AU152" s="13" t="s">
        <v>878</v>
      </c>
      <c r="AV152" s="13" t="s">
        <v>214</v>
      </c>
      <c r="AW152" s="13" t="s">
        <v>2129</v>
      </c>
      <c r="AX152" s="13" t="s">
        <v>69</v>
      </c>
      <c r="AY152" s="13" t="s">
        <v>90</v>
      </c>
      <c r="AZ152" s="17" t="s">
        <v>69</v>
      </c>
      <c r="BA152" s="13" t="s">
        <v>91</v>
      </c>
      <c r="BB152" s="13" t="s">
        <v>92</v>
      </c>
      <c r="BC152" s="13" t="s">
        <v>93</v>
      </c>
      <c r="BD152" s="11" t="str">
        <f>HYPERLINK("http://www.pero.ag","www.pero.ag")</f>
        <v>www.pero.ag</v>
      </c>
      <c r="BE152" s="11" t="str">
        <f>HYPERLINK("http://www.linkedin.com/company/pero-ag","http://www.linkedin.com/company/pero-ag")</f>
        <v>http://www.linkedin.com/company/pero-ag</v>
      </c>
      <c r="BF152" s="16">
        <v>193</v>
      </c>
      <c r="BG152" s="13" t="s">
        <v>2130</v>
      </c>
      <c r="BH152" s="13" t="s">
        <v>69</v>
      </c>
      <c r="BI152" s="13" t="s">
        <v>69</v>
      </c>
      <c r="BJ152" s="15">
        <v>1953</v>
      </c>
      <c r="BK152" s="13" t="s">
        <v>69</v>
      </c>
      <c r="BL152" s="14">
        <v>45646</v>
      </c>
      <c r="BM152" s="13" t="s">
        <v>69</v>
      </c>
      <c r="BN152" s="13" t="s">
        <v>69</v>
      </c>
      <c r="BO152" s="11" t="str">
        <f>HYPERLINK("https://my.pitchbook.com?c=469357-03","View Company Online")</f>
        <v>View Company Online</v>
      </c>
    </row>
    <row r="153" spans="1:67" x14ac:dyDescent="0.3">
      <c r="A153" s="3" t="s">
        <v>2131</v>
      </c>
      <c r="B153" s="3" t="s">
        <v>2132</v>
      </c>
      <c r="C153" s="3" t="s">
        <v>69</v>
      </c>
      <c r="D153" s="5" t="s">
        <v>69</v>
      </c>
      <c r="E153" s="3" t="s">
        <v>69</v>
      </c>
      <c r="F153" s="3" t="s">
        <v>69</v>
      </c>
      <c r="G153" s="3" t="s">
        <v>69</v>
      </c>
      <c r="H153" s="3" t="s">
        <v>69</v>
      </c>
      <c r="I153" s="4" t="s">
        <v>69</v>
      </c>
      <c r="J153" s="7" t="s">
        <v>69</v>
      </c>
      <c r="K153" s="4" t="s">
        <v>69</v>
      </c>
      <c r="L153" s="4" t="s">
        <v>69</v>
      </c>
      <c r="M153" s="4" t="s">
        <v>69</v>
      </c>
      <c r="N153" s="4" t="s">
        <v>69</v>
      </c>
      <c r="O153" s="4" t="s">
        <v>69</v>
      </c>
      <c r="P153" s="4" t="s">
        <v>69</v>
      </c>
      <c r="Q153" s="4" t="s">
        <v>69</v>
      </c>
      <c r="R153" s="6" t="s">
        <v>69</v>
      </c>
      <c r="S153" s="3" t="s">
        <v>69</v>
      </c>
      <c r="T153" s="3" t="s">
        <v>69</v>
      </c>
      <c r="U153" s="3" t="s">
        <v>69</v>
      </c>
      <c r="V153" s="3" t="s">
        <v>69</v>
      </c>
      <c r="W153" s="3" t="s">
        <v>69</v>
      </c>
      <c r="X153" s="3" t="s">
        <v>2133</v>
      </c>
      <c r="Y153" s="3" t="s">
        <v>2134</v>
      </c>
      <c r="Z153" s="3" t="s">
        <v>69</v>
      </c>
      <c r="AA153" s="3" t="s">
        <v>1332</v>
      </c>
      <c r="AB153" s="3" t="s">
        <v>2135</v>
      </c>
      <c r="AC153" s="6" t="s">
        <v>2136</v>
      </c>
      <c r="AD153" s="3" t="s">
        <v>1334</v>
      </c>
      <c r="AE153" s="6" t="s">
        <v>69</v>
      </c>
      <c r="AF153" s="6" t="s">
        <v>69</v>
      </c>
      <c r="AG153" s="3" t="s">
        <v>2137</v>
      </c>
      <c r="AH153" s="3" t="s">
        <v>446</v>
      </c>
      <c r="AI153" s="3" t="s">
        <v>1335</v>
      </c>
      <c r="AJ153" s="3" t="s">
        <v>69</v>
      </c>
      <c r="AK153" s="3" t="s">
        <v>69</v>
      </c>
      <c r="AL153" s="3" t="s">
        <v>69</v>
      </c>
      <c r="AM153" s="3" t="s">
        <v>2138</v>
      </c>
      <c r="AN153" s="3" t="s">
        <v>1337</v>
      </c>
      <c r="AO153" s="3" t="s">
        <v>69</v>
      </c>
      <c r="AP153" s="3" t="s">
        <v>2131</v>
      </c>
      <c r="AQ153" s="3" t="s">
        <v>2139</v>
      </c>
      <c r="AR153" s="3" t="s">
        <v>422</v>
      </c>
      <c r="AS153" s="3" t="s">
        <v>423</v>
      </c>
      <c r="AT153" s="3" t="s">
        <v>1339</v>
      </c>
      <c r="AU153" s="3" t="s">
        <v>1340</v>
      </c>
      <c r="AV153" s="3" t="s">
        <v>69</v>
      </c>
      <c r="AW153" s="3" t="s">
        <v>69</v>
      </c>
      <c r="AX153" s="3" t="s">
        <v>69</v>
      </c>
      <c r="AY153" s="3" t="s">
        <v>90</v>
      </c>
      <c r="AZ153" s="8" t="s">
        <v>69</v>
      </c>
      <c r="BA153" s="3" t="s">
        <v>69</v>
      </c>
      <c r="BB153" s="3" t="s">
        <v>92</v>
      </c>
      <c r="BC153" s="3" t="s">
        <v>93</v>
      </c>
      <c r="BD153" s="12" t="str">
        <f>HYPERLINK("http://pgmall.my","pgmall.my")</f>
        <v>pgmall.my</v>
      </c>
      <c r="BE153" s="12" t="str">
        <f>HYPERLINK("http://www.linkedin.com/company/pgmall","http://www.linkedin.com/company/pgmall")</f>
        <v>http://www.linkedin.com/company/pgmall</v>
      </c>
      <c r="BF153" s="9">
        <v>65</v>
      </c>
      <c r="BG153" s="3" t="s">
        <v>2140</v>
      </c>
      <c r="BH153" s="3" t="s">
        <v>69</v>
      </c>
      <c r="BI153" s="3" t="s">
        <v>69</v>
      </c>
      <c r="BJ153" s="10">
        <v>2017</v>
      </c>
      <c r="BK153" s="3" t="s">
        <v>69</v>
      </c>
      <c r="BL153" s="1">
        <v>45370</v>
      </c>
      <c r="BM153" s="3" t="s">
        <v>69</v>
      </c>
      <c r="BN153" s="3" t="s">
        <v>69</v>
      </c>
      <c r="BO153" s="12" t="str">
        <f>HYPERLINK("https://my.pitchbook.com?c=569630-08","View Company Online")</f>
        <v>View Company Online</v>
      </c>
    </row>
    <row r="154" spans="1:67" x14ac:dyDescent="0.3">
      <c r="A154" s="13" t="s">
        <v>2141</v>
      </c>
      <c r="B154" s="13" t="s">
        <v>2142</v>
      </c>
      <c r="C154" s="13" t="s">
        <v>69</v>
      </c>
      <c r="D154" s="21" t="s">
        <v>69</v>
      </c>
      <c r="E154" s="13" t="s">
        <v>69</v>
      </c>
      <c r="F154" s="13" t="s">
        <v>69</v>
      </c>
      <c r="G154" s="13" t="s">
        <v>69</v>
      </c>
      <c r="H154" s="13" t="s">
        <v>69</v>
      </c>
      <c r="I154" s="19" t="s">
        <v>69</v>
      </c>
      <c r="J154" s="20" t="s">
        <v>69</v>
      </c>
      <c r="K154" s="19" t="s">
        <v>69</v>
      </c>
      <c r="L154" s="19">
        <v>41.72</v>
      </c>
      <c r="M154" s="19" t="s">
        <v>69</v>
      </c>
      <c r="N154" s="19" t="s">
        <v>69</v>
      </c>
      <c r="O154" s="19" t="s">
        <v>69</v>
      </c>
      <c r="P154" s="19" t="s">
        <v>69</v>
      </c>
      <c r="Q154" s="19" t="s">
        <v>69</v>
      </c>
      <c r="R154" s="18" t="s">
        <v>70</v>
      </c>
      <c r="S154" s="13" t="s">
        <v>2143</v>
      </c>
      <c r="T154" s="13" t="s">
        <v>2142</v>
      </c>
      <c r="U154" s="13" t="s">
        <v>2144</v>
      </c>
      <c r="V154" s="13" t="s">
        <v>2145</v>
      </c>
      <c r="W154" s="13" t="s">
        <v>2146</v>
      </c>
      <c r="X154" s="13" t="s">
        <v>2147</v>
      </c>
      <c r="Y154" s="13" t="s">
        <v>2148</v>
      </c>
      <c r="Z154" s="13" t="s">
        <v>69</v>
      </c>
      <c r="AA154" s="13" t="s">
        <v>2149</v>
      </c>
      <c r="AB154" s="13" t="s">
        <v>69</v>
      </c>
      <c r="AC154" s="18" t="s">
        <v>2150</v>
      </c>
      <c r="AD154" s="13" t="s">
        <v>497</v>
      </c>
      <c r="AE154" s="18" t="s">
        <v>2146</v>
      </c>
      <c r="AF154" s="18" t="s">
        <v>2151</v>
      </c>
      <c r="AG154" s="13" t="s">
        <v>2152</v>
      </c>
      <c r="AH154" s="13" t="s">
        <v>78</v>
      </c>
      <c r="AI154" s="13" t="s">
        <v>132</v>
      </c>
      <c r="AJ154" s="13" t="s">
        <v>69</v>
      </c>
      <c r="AK154" s="13" t="s">
        <v>2153</v>
      </c>
      <c r="AL154" s="13" t="s">
        <v>2154</v>
      </c>
      <c r="AM154" s="13" t="s">
        <v>69</v>
      </c>
      <c r="AN154" s="13" t="s">
        <v>69</v>
      </c>
      <c r="AO154" s="13" t="s">
        <v>2155</v>
      </c>
      <c r="AP154" s="13" t="s">
        <v>2141</v>
      </c>
      <c r="AQ154" s="13" t="s">
        <v>2156</v>
      </c>
      <c r="AR154" s="13" t="s">
        <v>85</v>
      </c>
      <c r="AS154" s="13" t="s">
        <v>86</v>
      </c>
      <c r="AT154" s="13" t="s">
        <v>137</v>
      </c>
      <c r="AU154" s="13" t="s">
        <v>2157</v>
      </c>
      <c r="AV154" s="13" t="s">
        <v>2158</v>
      </c>
      <c r="AW154" s="13" t="s">
        <v>2159</v>
      </c>
      <c r="AX154" s="13" t="s">
        <v>69</v>
      </c>
      <c r="AY154" s="13" t="s">
        <v>90</v>
      </c>
      <c r="AZ154" s="17" t="s">
        <v>69</v>
      </c>
      <c r="BA154" s="13" t="s">
        <v>91</v>
      </c>
      <c r="BB154" s="13" t="s">
        <v>92</v>
      </c>
      <c r="BC154" s="13" t="s">
        <v>93</v>
      </c>
      <c r="BD154" s="11" t="str">
        <f>HYPERLINK("http://www.plein.com","www.plein.com")</f>
        <v>www.plein.com</v>
      </c>
      <c r="BE154" s="11" t="str">
        <f>HYPERLINK("http://www.linkedin.com/company/philippp-plein-international-ag","http://www.linkedin.com/company/philippp-plein-international-ag")</f>
        <v>http://www.linkedin.com/company/philippp-plein-international-ag</v>
      </c>
      <c r="BF154" s="16">
        <v>700</v>
      </c>
      <c r="BG154" s="13" t="s">
        <v>2160</v>
      </c>
      <c r="BH154" s="13" t="s">
        <v>69</v>
      </c>
      <c r="BI154" s="13" t="s">
        <v>69</v>
      </c>
      <c r="BJ154" s="15">
        <v>1998</v>
      </c>
      <c r="BK154" s="13" t="s">
        <v>69</v>
      </c>
      <c r="BL154" s="14">
        <v>45762</v>
      </c>
      <c r="BM154" s="13" t="s">
        <v>69</v>
      </c>
      <c r="BN154" s="13" t="s">
        <v>2161</v>
      </c>
      <c r="BO154" s="11" t="str">
        <f>HYPERLINK("https://my.pitchbook.com?c=160809-76","View Company Online")</f>
        <v>View Company Online</v>
      </c>
    </row>
    <row r="155" spans="1:67" x14ac:dyDescent="0.3">
      <c r="A155" s="3" t="s">
        <v>2162</v>
      </c>
      <c r="B155" s="3" t="s">
        <v>2163</v>
      </c>
      <c r="C155" s="3" t="s">
        <v>69</v>
      </c>
      <c r="D155" s="5" t="s">
        <v>69</v>
      </c>
      <c r="E155" s="3" t="s">
        <v>69</v>
      </c>
      <c r="F155" s="3" t="s">
        <v>69</v>
      </c>
      <c r="G155" s="3" t="s">
        <v>69</v>
      </c>
      <c r="H155" s="3" t="s">
        <v>69</v>
      </c>
      <c r="I155" s="4" t="s">
        <v>69</v>
      </c>
      <c r="J155" s="7" t="s">
        <v>69</v>
      </c>
      <c r="K155" s="4" t="s">
        <v>69</v>
      </c>
      <c r="L155" s="4" t="s">
        <v>69</v>
      </c>
      <c r="M155" s="4" t="s">
        <v>69</v>
      </c>
      <c r="N155" s="4" t="s">
        <v>69</v>
      </c>
      <c r="O155" s="4" t="s">
        <v>69</v>
      </c>
      <c r="P155" s="4" t="s">
        <v>69</v>
      </c>
      <c r="Q155" s="4" t="s">
        <v>69</v>
      </c>
      <c r="R155" s="6" t="s">
        <v>69</v>
      </c>
      <c r="S155" s="3" t="s">
        <v>69</v>
      </c>
      <c r="T155" s="3" t="s">
        <v>69</v>
      </c>
      <c r="U155" s="3" t="s">
        <v>69</v>
      </c>
      <c r="V155" s="3" t="s">
        <v>69</v>
      </c>
      <c r="W155" s="3" t="s">
        <v>69</v>
      </c>
      <c r="X155" s="3" t="s">
        <v>2164</v>
      </c>
      <c r="Y155" s="3" t="s">
        <v>2165</v>
      </c>
      <c r="Z155" s="3" t="s">
        <v>69</v>
      </c>
      <c r="AA155" s="3" t="s">
        <v>2166</v>
      </c>
      <c r="AB155" s="3" t="s">
        <v>2167</v>
      </c>
      <c r="AC155" s="6" t="s">
        <v>2168</v>
      </c>
      <c r="AD155" s="3" t="s">
        <v>963</v>
      </c>
      <c r="AE155" s="6" t="s">
        <v>69</v>
      </c>
      <c r="AF155" s="6" t="s">
        <v>69</v>
      </c>
      <c r="AG155" s="3" t="s">
        <v>69</v>
      </c>
      <c r="AH155" s="3" t="s">
        <v>912</v>
      </c>
      <c r="AI155" s="3" t="s">
        <v>912</v>
      </c>
      <c r="AJ155" s="3" t="s">
        <v>69</v>
      </c>
      <c r="AK155" s="3" t="s">
        <v>69</v>
      </c>
      <c r="AL155" s="3" t="s">
        <v>69</v>
      </c>
      <c r="AM155" s="3" t="s">
        <v>69</v>
      </c>
      <c r="AN155" s="3" t="s">
        <v>69</v>
      </c>
      <c r="AO155" s="3" t="s">
        <v>69</v>
      </c>
      <c r="AP155" s="3" t="s">
        <v>2162</v>
      </c>
      <c r="AQ155" s="3" t="s">
        <v>2169</v>
      </c>
      <c r="AR155" s="3" t="s">
        <v>422</v>
      </c>
      <c r="AS155" s="3" t="s">
        <v>841</v>
      </c>
      <c r="AT155" s="3" t="s">
        <v>842</v>
      </c>
      <c r="AU155" s="3" t="s">
        <v>1850</v>
      </c>
      <c r="AV155" s="3" t="s">
        <v>69</v>
      </c>
      <c r="AW155" s="3" t="s">
        <v>2170</v>
      </c>
      <c r="AX155" s="3" t="s">
        <v>69</v>
      </c>
      <c r="AY155" s="3" t="s">
        <v>90</v>
      </c>
      <c r="AZ155" s="8" t="s">
        <v>69</v>
      </c>
      <c r="BA155" s="3" t="s">
        <v>69</v>
      </c>
      <c r="BB155" s="3" t="s">
        <v>92</v>
      </c>
      <c r="BC155" s="3" t="s">
        <v>93</v>
      </c>
      <c r="BD155" s="12" t="str">
        <f>HYPERLINK("http://pt.com.tr","pt.com.tr")</f>
        <v>pt.com.tr</v>
      </c>
      <c r="BE155" s="12" t="str">
        <f>HYPERLINK("http://www.linkedin.com/company/pozitif-teknoloji","http://www.linkedin.com/company/pozitif-teknoloji")</f>
        <v>http://www.linkedin.com/company/pozitif-teknoloji</v>
      </c>
      <c r="BF155" s="9">
        <v>51</v>
      </c>
      <c r="BG155" s="3" t="s">
        <v>924</v>
      </c>
      <c r="BH155" s="3" t="s">
        <v>69</v>
      </c>
      <c r="BI155" s="3" t="s">
        <v>69</v>
      </c>
      <c r="BJ155" s="10">
        <v>2005</v>
      </c>
      <c r="BK155" s="3" t="s">
        <v>69</v>
      </c>
      <c r="BL155" s="1">
        <v>45512</v>
      </c>
      <c r="BM155" s="3" t="s">
        <v>69</v>
      </c>
      <c r="BN155" s="3" t="s">
        <v>69</v>
      </c>
      <c r="BO155" s="12" t="str">
        <f>HYPERLINK("https://my.pitchbook.com?c=626779-00","View Company Online")</f>
        <v>View Company Online</v>
      </c>
    </row>
    <row r="156" spans="1:67" x14ac:dyDescent="0.3">
      <c r="A156" s="13" t="s">
        <v>2171</v>
      </c>
      <c r="B156" s="13" t="s">
        <v>2172</v>
      </c>
      <c r="C156" s="13" t="s">
        <v>69</v>
      </c>
      <c r="D156" s="21" t="s">
        <v>69</v>
      </c>
      <c r="E156" s="13" t="s">
        <v>69</v>
      </c>
      <c r="F156" s="13" t="s">
        <v>69</v>
      </c>
      <c r="G156" s="13" t="s">
        <v>69</v>
      </c>
      <c r="H156" s="13" t="s">
        <v>69</v>
      </c>
      <c r="I156" s="19" t="s">
        <v>69</v>
      </c>
      <c r="J156" s="20" t="s">
        <v>69</v>
      </c>
      <c r="K156" s="19" t="s">
        <v>69</v>
      </c>
      <c r="L156" s="19" t="s">
        <v>69</v>
      </c>
      <c r="M156" s="19" t="s">
        <v>69</v>
      </c>
      <c r="N156" s="19" t="s">
        <v>69</v>
      </c>
      <c r="O156" s="19" t="s">
        <v>69</v>
      </c>
      <c r="P156" s="19" t="s">
        <v>69</v>
      </c>
      <c r="Q156" s="19" t="s">
        <v>69</v>
      </c>
      <c r="R156" s="18" t="s">
        <v>69</v>
      </c>
      <c r="S156" s="13" t="s">
        <v>69</v>
      </c>
      <c r="T156" s="13" t="s">
        <v>69</v>
      </c>
      <c r="U156" s="13" t="s">
        <v>69</v>
      </c>
      <c r="V156" s="13" t="s">
        <v>69</v>
      </c>
      <c r="W156" s="13" t="s">
        <v>69</v>
      </c>
      <c r="X156" s="13" t="s">
        <v>2173</v>
      </c>
      <c r="Y156" s="13" t="s">
        <v>2174</v>
      </c>
      <c r="Z156" s="13" t="s">
        <v>69</v>
      </c>
      <c r="AA156" s="13" t="s">
        <v>2175</v>
      </c>
      <c r="AB156" s="13" t="s">
        <v>1102</v>
      </c>
      <c r="AC156" s="18" t="s">
        <v>2176</v>
      </c>
      <c r="AD156" s="13" t="s">
        <v>378</v>
      </c>
      <c r="AE156" s="18" t="s">
        <v>2177</v>
      </c>
      <c r="AF156" s="18" t="s">
        <v>69</v>
      </c>
      <c r="AG156" s="13" t="s">
        <v>69</v>
      </c>
      <c r="AH156" s="13" t="s">
        <v>379</v>
      </c>
      <c r="AI156" s="13" t="s">
        <v>380</v>
      </c>
      <c r="AJ156" s="13" t="s">
        <v>69</v>
      </c>
      <c r="AK156" s="13" t="s">
        <v>69</v>
      </c>
      <c r="AL156" s="13" t="s">
        <v>2178</v>
      </c>
      <c r="AM156" s="13" t="s">
        <v>69</v>
      </c>
      <c r="AN156" s="13" t="s">
        <v>69</v>
      </c>
      <c r="AO156" s="13" t="s">
        <v>69</v>
      </c>
      <c r="AP156" s="13" t="s">
        <v>2171</v>
      </c>
      <c r="AQ156" s="13" t="s">
        <v>2179</v>
      </c>
      <c r="AR156" s="13" t="s">
        <v>185</v>
      </c>
      <c r="AS156" s="13" t="s">
        <v>348</v>
      </c>
      <c r="AT156" s="13" t="s">
        <v>481</v>
      </c>
      <c r="AU156" s="13" t="s">
        <v>821</v>
      </c>
      <c r="AV156" s="13" t="s">
        <v>69</v>
      </c>
      <c r="AW156" s="13" t="s">
        <v>69</v>
      </c>
      <c r="AX156" s="13" t="s">
        <v>69</v>
      </c>
      <c r="AY156" s="13" t="s">
        <v>90</v>
      </c>
      <c r="AZ156" s="17" t="s">
        <v>69</v>
      </c>
      <c r="BA156" s="13" t="s">
        <v>1233</v>
      </c>
      <c r="BB156" s="13" t="s">
        <v>92</v>
      </c>
      <c r="BC156" s="13" t="s">
        <v>93</v>
      </c>
      <c r="BD156" s="11" t="str">
        <f>HYPERLINK("http://primeprotectiveinc.wordpress.com","primeprotectiveinc.wordpress.com")</f>
        <v>primeprotectiveinc.wordpress.com</v>
      </c>
      <c r="BE156" s="13" t="s">
        <v>69</v>
      </c>
      <c r="BF156" s="16">
        <v>120</v>
      </c>
      <c r="BG156" s="13" t="s">
        <v>2180</v>
      </c>
      <c r="BH156" s="13" t="s">
        <v>69</v>
      </c>
      <c r="BI156" s="13" t="s">
        <v>69</v>
      </c>
      <c r="BJ156" s="15">
        <v>2010</v>
      </c>
      <c r="BK156" s="13" t="s">
        <v>69</v>
      </c>
      <c r="BL156" s="14">
        <v>45737</v>
      </c>
      <c r="BM156" s="13" t="s">
        <v>69</v>
      </c>
      <c r="BN156" s="13" t="s">
        <v>69</v>
      </c>
      <c r="BO156" s="11" t="str">
        <f>HYPERLINK("https://my.pitchbook.com?c=768735-46","View Company Online")</f>
        <v>View Company Online</v>
      </c>
    </row>
    <row r="157" spans="1:67" x14ac:dyDescent="0.3">
      <c r="A157" s="3" t="s">
        <v>2181</v>
      </c>
      <c r="B157" s="3" t="s">
        <v>2182</v>
      </c>
      <c r="C157" s="3" t="s">
        <v>69</v>
      </c>
      <c r="D157" s="5" t="s">
        <v>69</v>
      </c>
      <c r="E157" s="3" t="s">
        <v>69</v>
      </c>
      <c r="F157" s="3" t="s">
        <v>69</v>
      </c>
      <c r="G157" s="3" t="s">
        <v>69</v>
      </c>
      <c r="H157" s="3" t="s">
        <v>69</v>
      </c>
      <c r="I157" s="4" t="s">
        <v>69</v>
      </c>
      <c r="J157" s="7" t="s">
        <v>69</v>
      </c>
      <c r="K157" s="4" t="s">
        <v>69</v>
      </c>
      <c r="L157" s="4" t="s">
        <v>69</v>
      </c>
      <c r="M157" s="4" t="s">
        <v>69</v>
      </c>
      <c r="N157" s="4" t="s">
        <v>69</v>
      </c>
      <c r="O157" s="4" t="s">
        <v>69</v>
      </c>
      <c r="P157" s="4" t="s">
        <v>69</v>
      </c>
      <c r="Q157" s="4" t="s">
        <v>69</v>
      </c>
      <c r="R157" s="6" t="s">
        <v>69</v>
      </c>
      <c r="S157" s="3" t="s">
        <v>69</v>
      </c>
      <c r="T157" s="3" t="s">
        <v>69</v>
      </c>
      <c r="U157" s="3" t="s">
        <v>69</v>
      </c>
      <c r="V157" s="3" t="s">
        <v>69</v>
      </c>
      <c r="W157" s="3" t="s">
        <v>69</v>
      </c>
      <c r="X157" s="3" t="s">
        <v>2183</v>
      </c>
      <c r="Y157" s="3" t="s">
        <v>69</v>
      </c>
      <c r="Z157" s="3" t="s">
        <v>69</v>
      </c>
      <c r="AA157" s="3" t="s">
        <v>2184</v>
      </c>
      <c r="AB157" s="3" t="s">
        <v>1829</v>
      </c>
      <c r="AC157" s="6" t="s">
        <v>2185</v>
      </c>
      <c r="AD157" s="3" t="s">
        <v>378</v>
      </c>
      <c r="AE157" s="6" t="s">
        <v>2186</v>
      </c>
      <c r="AF157" s="6" t="s">
        <v>69</v>
      </c>
      <c r="AG157" s="3" t="s">
        <v>69</v>
      </c>
      <c r="AH157" s="3" t="s">
        <v>379</v>
      </c>
      <c r="AI157" s="3" t="s">
        <v>380</v>
      </c>
      <c r="AJ157" s="3" t="s">
        <v>69</v>
      </c>
      <c r="AK157" s="3" t="s">
        <v>69</v>
      </c>
      <c r="AL157" s="3" t="s">
        <v>69</v>
      </c>
      <c r="AM157" s="3" t="s">
        <v>69</v>
      </c>
      <c r="AN157" s="3" t="s">
        <v>69</v>
      </c>
      <c r="AO157" s="3" t="s">
        <v>69</v>
      </c>
      <c r="AP157" s="3" t="s">
        <v>2181</v>
      </c>
      <c r="AQ157" s="3" t="s">
        <v>2187</v>
      </c>
      <c r="AR157" s="3" t="s">
        <v>422</v>
      </c>
      <c r="AS157" s="3" t="s">
        <v>423</v>
      </c>
      <c r="AT157" s="3" t="s">
        <v>1181</v>
      </c>
      <c r="AU157" s="3" t="s">
        <v>1182</v>
      </c>
      <c r="AV157" s="3" t="s">
        <v>69</v>
      </c>
      <c r="AW157" s="3" t="s">
        <v>2188</v>
      </c>
      <c r="AX157" s="3" t="s">
        <v>69</v>
      </c>
      <c r="AY157" s="3" t="s">
        <v>90</v>
      </c>
      <c r="AZ157" s="8" t="s">
        <v>69</v>
      </c>
      <c r="BA157" s="3" t="s">
        <v>91</v>
      </c>
      <c r="BB157" s="3" t="s">
        <v>92</v>
      </c>
      <c r="BC157" s="3" t="s">
        <v>93</v>
      </c>
      <c r="BD157" s="12" t="str">
        <f>HYPERLINK("http://radcliffejewelers.com","radcliffejewelers.com")</f>
        <v>radcliffejewelers.com</v>
      </c>
      <c r="BE157" s="12" t="str">
        <f>HYPERLINK("http://www.linkedin.com/company/radcliffe-jewelers","http://www.linkedin.com/company/radcliffe-jewelers")</f>
        <v>http://www.linkedin.com/company/radcliffe-jewelers</v>
      </c>
      <c r="BF157" s="9">
        <v>65</v>
      </c>
      <c r="BG157" s="3" t="s">
        <v>2189</v>
      </c>
      <c r="BH157" s="3" t="s">
        <v>69</v>
      </c>
      <c r="BI157" s="3" t="s">
        <v>69</v>
      </c>
      <c r="BJ157" s="10">
        <v>1983</v>
      </c>
      <c r="BK157" s="3" t="s">
        <v>69</v>
      </c>
      <c r="BL157" s="1">
        <v>45136</v>
      </c>
      <c r="BM157" s="3" t="s">
        <v>69</v>
      </c>
      <c r="BN157" s="3" t="s">
        <v>69</v>
      </c>
      <c r="BO157" s="12" t="str">
        <f>HYPERLINK("https://my.pitchbook.com?c=247660-93","View Company Online")</f>
        <v>View Company Online</v>
      </c>
    </row>
    <row r="158" spans="1:67" x14ac:dyDescent="0.3">
      <c r="A158" s="13" t="s">
        <v>2190</v>
      </c>
      <c r="B158" s="13" t="s">
        <v>2191</v>
      </c>
      <c r="C158" s="13" t="s">
        <v>69</v>
      </c>
      <c r="D158" s="21" t="s">
        <v>69</v>
      </c>
      <c r="E158" s="13" t="s">
        <v>69</v>
      </c>
      <c r="F158" s="13" t="s">
        <v>69</v>
      </c>
      <c r="G158" s="13" t="s">
        <v>69</v>
      </c>
      <c r="H158" s="13" t="s">
        <v>69</v>
      </c>
      <c r="I158" s="19" t="s">
        <v>69</v>
      </c>
      <c r="J158" s="20" t="s">
        <v>69</v>
      </c>
      <c r="K158" s="19" t="s">
        <v>69</v>
      </c>
      <c r="L158" s="19" t="s">
        <v>69</v>
      </c>
      <c r="M158" s="19" t="s">
        <v>69</v>
      </c>
      <c r="N158" s="19" t="s">
        <v>69</v>
      </c>
      <c r="O158" s="19" t="s">
        <v>69</v>
      </c>
      <c r="P158" s="19" t="s">
        <v>69</v>
      </c>
      <c r="Q158" s="19" t="s">
        <v>69</v>
      </c>
      <c r="R158" s="18" t="s">
        <v>69</v>
      </c>
      <c r="S158" s="13" t="s">
        <v>2192</v>
      </c>
      <c r="T158" s="13" t="s">
        <v>2193</v>
      </c>
      <c r="U158" s="13" t="s">
        <v>257</v>
      </c>
      <c r="V158" s="13" t="s">
        <v>69</v>
      </c>
      <c r="W158" s="13" t="s">
        <v>69</v>
      </c>
      <c r="X158" s="13" t="s">
        <v>2194</v>
      </c>
      <c r="Y158" s="13" t="s">
        <v>2195</v>
      </c>
      <c r="Z158" s="13" t="s">
        <v>2196</v>
      </c>
      <c r="AA158" s="13" t="s">
        <v>2197</v>
      </c>
      <c r="AB158" s="13" t="s">
        <v>69</v>
      </c>
      <c r="AC158" s="18" t="s">
        <v>2198</v>
      </c>
      <c r="AD158" s="13" t="s">
        <v>497</v>
      </c>
      <c r="AE158" s="18" t="s">
        <v>69</v>
      </c>
      <c r="AF158" s="18" t="s">
        <v>69</v>
      </c>
      <c r="AG158" s="13" t="s">
        <v>69</v>
      </c>
      <c r="AH158" s="13" t="s">
        <v>78</v>
      </c>
      <c r="AI158" s="13" t="s">
        <v>132</v>
      </c>
      <c r="AJ158" s="13" t="s">
        <v>69</v>
      </c>
      <c r="AK158" s="13" t="s">
        <v>2199</v>
      </c>
      <c r="AL158" s="13" t="s">
        <v>2200</v>
      </c>
      <c r="AM158" s="13" t="s">
        <v>69</v>
      </c>
      <c r="AN158" s="13" t="s">
        <v>69</v>
      </c>
      <c r="AO158" s="13" t="s">
        <v>69</v>
      </c>
      <c r="AP158" s="13" t="s">
        <v>2190</v>
      </c>
      <c r="AQ158" s="13" t="s">
        <v>2201</v>
      </c>
      <c r="AR158" s="13" t="s">
        <v>85</v>
      </c>
      <c r="AS158" s="13" t="s">
        <v>211</v>
      </c>
      <c r="AT158" s="13" t="s">
        <v>299</v>
      </c>
      <c r="AU158" s="13" t="s">
        <v>2202</v>
      </c>
      <c r="AV158" s="13" t="s">
        <v>69</v>
      </c>
      <c r="AW158" s="13" t="s">
        <v>2203</v>
      </c>
      <c r="AX158" s="13" t="s">
        <v>69</v>
      </c>
      <c r="AY158" s="13" t="s">
        <v>90</v>
      </c>
      <c r="AZ158" s="17" t="s">
        <v>69</v>
      </c>
      <c r="BA158" s="13" t="s">
        <v>91</v>
      </c>
      <c r="BB158" s="13" t="s">
        <v>92</v>
      </c>
      <c r="BC158" s="13" t="s">
        <v>93</v>
      </c>
      <c r="BD158" s="11" t="str">
        <f>HYPERLINK("http://www.raymond-weil.com","www.raymond-weil.com")</f>
        <v>www.raymond-weil.com</v>
      </c>
      <c r="BE158" s="11" t="str">
        <f>HYPERLINK("http://www.linkedin.com/company/raymond-weil-s.a.","http://www.linkedin.com/company/raymond-weil-s.a.")</f>
        <v>http://www.linkedin.com/company/raymond-weil-s.a.</v>
      </c>
      <c r="BF158" s="16">
        <v>88</v>
      </c>
      <c r="BG158" s="13" t="s">
        <v>1547</v>
      </c>
      <c r="BH158" s="13" t="s">
        <v>69</v>
      </c>
      <c r="BI158" s="13" t="s">
        <v>69</v>
      </c>
      <c r="BJ158" s="15">
        <v>1976</v>
      </c>
      <c r="BK158" s="13" t="s">
        <v>69</v>
      </c>
      <c r="BL158" s="14">
        <v>45419</v>
      </c>
      <c r="BM158" s="13" t="s">
        <v>69</v>
      </c>
      <c r="BN158" s="13" t="s">
        <v>69</v>
      </c>
      <c r="BO158" s="11" t="str">
        <f>HYPERLINK("https://my.pitchbook.com?c=131826-79","View Company Online")</f>
        <v>View Company Online</v>
      </c>
    </row>
    <row r="159" spans="1:67" x14ac:dyDescent="0.3">
      <c r="A159" s="3" t="s">
        <v>2204</v>
      </c>
      <c r="B159" s="3" t="s">
        <v>2205</v>
      </c>
      <c r="C159" s="3" t="s">
        <v>69</v>
      </c>
      <c r="D159" s="5" t="s">
        <v>69</v>
      </c>
      <c r="E159" s="3" t="s">
        <v>69</v>
      </c>
      <c r="F159" s="3" t="s">
        <v>69</v>
      </c>
      <c r="G159" s="3" t="s">
        <v>69</v>
      </c>
      <c r="H159" s="3" t="s">
        <v>69</v>
      </c>
      <c r="I159" s="4" t="s">
        <v>69</v>
      </c>
      <c r="J159" s="7" t="s">
        <v>69</v>
      </c>
      <c r="K159" s="4" t="s">
        <v>69</v>
      </c>
      <c r="L159" s="4" t="s">
        <v>69</v>
      </c>
      <c r="M159" s="4" t="s">
        <v>69</v>
      </c>
      <c r="N159" s="4" t="s">
        <v>69</v>
      </c>
      <c r="O159" s="4" t="s">
        <v>69</v>
      </c>
      <c r="P159" s="4" t="s">
        <v>69</v>
      </c>
      <c r="Q159" s="4" t="s">
        <v>69</v>
      </c>
      <c r="R159" s="6" t="s">
        <v>69</v>
      </c>
      <c r="S159" s="3" t="s">
        <v>69</v>
      </c>
      <c r="T159" s="3" t="s">
        <v>69</v>
      </c>
      <c r="U159" s="3" t="s">
        <v>69</v>
      </c>
      <c r="V159" s="3" t="s">
        <v>69</v>
      </c>
      <c r="W159" s="3" t="s">
        <v>69</v>
      </c>
      <c r="X159" s="3" t="s">
        <v>2206</v>
      </c>
      <c r="Y159" s="3" t="s">
        <v>2207</v>
      </c>
      <c r="Z159" s="3" t="s">
        <v>69</v>
      </c>
      <c r="AA159" s="3" t="s">
        <v>2208</v>
      </c>
      <c r="AB159" s="3" t="s">
        <v>2209</v>
      </c>
      <c r="AC159" s="6" t="s">
        <v>2210</v>
      </c>
      <c r="AD159" s="3" t="s">
        <v>2211</v>
      </c>
      <c r="AE159" s="6" t="s">
        <v>69</v>
      </c>
      <c r="AF159" s="6" t="s">
        <v>69</v>
      </c>
      <c r="AG159" s="3" t="s">
        <v>69</v>
      </c>
      <c r="AH159" s="3" t="s">
        <v>379</v>
      </c>
      <c r="AI159" s="3" t="s">
        <v>380</v>
      </c>
      <c r="AJ159" s="3" t="s">
        <v>69</v>
      </c>
      <c r="AK159" s="3" t="s">
        <v>69</v>
      </c>
      <c r="AL159" s="3" t="s">
        <v>69</v>
      </c>
      <c r="AM159" s="3" t="s">
        <v>69</v>
      </c>
      <c r="AN159" s="3" t="s">
        <v>69</v>
      </c>
      <c r="AO159" s="3" t="s">
        <v>69</v>
      </c>
      <c r="AP159" s="3" t="s">
        <v>2204</v>
      </c>
      <c r="AQ159" s="3" t="s">
        <v>2212</v>
      </c>
      <c r="AR159" s="3" t="s">
        <v>85</v>
      </c>
      <c r="AS159" s="3" t="s">
        <v>86</v>
      </c>
      <c r="AT159" s="3" t="s">
        <v>2213</v>
      </c>
      <c r="AU159" s="3" t="s">
        <v>2214</v>
      </c>
      <c r="AV159" s="3" t="s">
        <v>69</v>
      </c>
      <c r="AW159" s="3" t="s">
        <v>2215</v>
      </c>
      <c r="AX159" s="3" t="s">
        <v>69</v>
      </c>
      <c r="AY159" s="3" t="s">
        <v>90</v>
      </c>
      <c r="AZ159" s="8" t="s">
        <v>69</v>
      </c>
      <c r="BA159" s="3" t="s">
        <v>69</v>
      </c>
      <c r="BB159" s="3" t="s">
        <v>92</v>
      </c>
      <c r="BC159" s="3" t="s">
        <v>93</v>
      </c>
      <c r="BD159" s="12" t="str">
        <f>HYPERLINK("http://redlemon.com.mx","redlemon.com.mx")</f>
        <v>redlemon.com.mx</v>
      </c>
      <c r="BE159" s="12" t="str">
        <f>HYPERLINK("http://www.linkedin.com/company/redlemon-technology","http://www.linkedin.com/company/redlemon-technology")</f>
        <v>http://www.linkedin.com/company/redlemon-technology</v>
      </c>
      <c r="BF159" s="9">
        <v>59</v>
      </c>
      <c r="BG159" s="3" t="s">
        <v>2216</v>
      </c>
      <c r="BH159" s="3" t="s">
        <v>69</v>
      </c>
      <c r="BI159" s="3" t="s">
        <v>69</v>
      </c>
      <c r="BJ159" s="10">
        <v>2006</v>
      </c>
      <c r="BK159" s="3" t="s">
        <v>69</v>
      </c>
      <c r="BL159" s="1">
        <v>45509</v>
      </c>
      <c r="BM159" s="3" t="s">
        <v>69</v>
      </c>
      <c r="BN159" s="3" t="s">
        <v>69</v>
      </c>
      <c r="BO159" s="12" t="str">
        <f>HYPERLINK("https://my.pitchbook.com?c=620838-46","View Company Online")</f>
        <v>View Company Online</v>
      </c>
    </row>
    <row r="160" spans="1:67" x14ac:dyDescent="0.3">
      <c r="A160" s="13" t="s">
        <v>2217</v>
      </c>
      <c r="B160" s="13" t="s">
        <v>2218</v>
      </c>
      <c r="C160" s="13" t="s">
        <v>69</v>
      </c>
      <c r="D160" s="21" t="s">
        <v>69</v>
      </c>
      <c r="E160" s="13" t="s">
        <v>69</v>
      </c>
      <c r="F160" s="13" t="s">
        <v>69</v>
      </c>
      <c r="G160" s="13" t="s">
        <v>69</v>
      </c>
      <c r="H160" s="13" t="s">
        <v>69</v>
      </c>
      <c r="I160" s="19" t="s">
        <v>69</v>
      </c>
      <c r="J160" s="20" t="s">
        <v>69</v>
      </c>
      <c r="K160" s="19" t="s">
        <v>69</v>
      </c>
      <c r="L160" s="19" t="s">
        <v>69</v>
      </c>
      <c r="M160" s="19" t="s">
        <v>69</v>
      </c>
      <c r="N160" s="19" t="s">
        <v>69</v>
      </c>
      <c r="O160" s="19" t="s">
        <v>69</v>
      </c>
      <c r="P160" s="19" t="s">
        <v>69</v>
      </c>
      <c r="Q160" s="19" t="s">
        <v>69</v>
      </c>
      <c r="R160" s="18" t="s">
        <v>69</v>
      </c>
      <c r="S160" s="13" t="s">
        <v>69</v>
      </c>
      <c r="T160" s="13" t="s">
        <v>69</v>
      </c>
      <c r="U160" s="13" t="s">
        <v>69</v>
      </c>
      <c r="V160" s="13" t="s">
        <v>69</v>
      </c>
      <c r="W160" s="13" t="s">
        <v>69</v>
      </c>
      <c r="X160" s="13" t="s">
        <v>2219</v>
      </c>
      <c r="Y160" s="13" t="s">
        <v>69</v>
      </c>
      <c r="Z160" s="13" t="s">
        <v>69</v>
      </c>
      <c r="AA160" s="13" t="s">
        <v>2220</v>
      </c>
      <c r="AB160" s="13" t="s">
        <v>2221</v>
      </c>
      <c r="AC160" s="18" t="s">
        <v>2222</v>
      </c>
      <c r="AD160" s="13" t="s">
        <v>378</v>
      </c>
      <c r="AE160" s="18" t="s">
        <v>2223</v>
      </c>
      <c r="AF160" s="18" t="s">
        <v>69</v>
      </c>
      <c r="AG160" s="13" t="s">
        <v>69</v>
      </c>
      <c r="AH160" s="13" t="s">
        <v>379</v>
      </c>
      <c r="AI160" s="13" t="s">
        <v>380</v>
      </c>
      <c r="AJ160" s="13" t="s">
        <v>69</v>
      </c>
      <c r="AK160" s="13" t="s">
        <v>69</v>
      </c>
      <c r="AL160" s="13" t="s">
        <v>69</v>
      </c>
      <c r="AM160" s="13" t="s">
        <v>69</v>
      </c>
      <c r="AN160" s="13" t="s">
        <v>69</v>
      </c>
      <c r="AO160" s="13" t="s">
        <v>69</v>
      </c>
      <c r="AP160" s="13" t="s">
        <v>2217</v>
      </c>
      <c r="AQ160" s="13" t="s">
        <v>2224</v>
      </c>
      <c r="AR160" s="13" t="s">
        <v>422</v>
      </c>
      <c r="AS160" s="13" t="s">
        <v>841</v>
      </c>
      <c r="AT160" s="13" t="s">
        <v>2225</v>
      </c>
      <c r="AU160" s="13" t="s">
        <v>2226</v>
      </c>
      <c r="AV160" s="13" t="s">
        <v>69</v>
      </c>
      <c r="AW160" s="13" t="s">
        <v>2227</v>
      </c>
      <c r="AX160" s="13" t="s">
        <v>69</v>
      </c>
      <c r="AY160" s="13" t="s">
        <v>90</v>
      </c>
      <c r="AZ160" s="17" t="s">
        <v>69</v>
      </c>
      <c r="BA160" s="13" t="s">
        <v>69</v>
      </c>
      <c r="BB160" s="13" t="s">
        <v>92</v>
      </c>
      <c r="BC160" s="13" t="s">
        <v>521</v>
      </c>
      <c r="BD160" s="11" t="str">
        <f>HYPERLINK("http://reisnichols.com","reisnichols.com")</f>
        <v>reisnichols.com</v>
      </c>
      <c r="BE160" s="11" t="str">
        <f>HYPERLINK("http://www.linkedin.com/company/reis-nichols","http://www.linkedin.com/company/reis-nichols")</f>
        <v>http://www.linkedin.com/company/reis-nichols</v>
      </c>
      <c r="BF160" s="16">
        <v>78</v>
      </c>
      <c r="BG160" s="13" t="s">
        <v>2228</v>
      </c>
      <c r="BH160" s="13" t="s">
        <v>69</v>
      </c>
      <c r="BI160" s="13" t="s">
        <v>69</v>
      </c>
      <c r="BJ160" s="15">
        <v>1985</v>
      </c>
      <c r="BK160" s="13" t="s">
        <v>69</v>
      </c>
      <c r="BL160" s="14">
        <v>45183</v>
      </c>
      <c r="BM160" s="13" t="s">
        <v>69</v>
      </c>
      <c r="BN160" s="13" t="s">
        <v>69</v>
      </c>
      <c r="BO160" s="11" t="str">
        <f>HYPERLINK("https://my.pitchbook.com?c=130242-43","View Company Online")</f>
        <v>View Company Online</v>
      </c>
    </row>
    <row r="161" spans="1:67" x14ac:dyDescent="0.3">
      <c r="A161" s="3" t="s">
        <v>2229</v>
      </c>
      <c r="B161" s="3" t="s">
        <v>2230</v>
      </c>
      <c r="C161" s="3" t="s">
        <v>69</v>
      </c>
      <c r="D161" s="5" t="s">
        <v>69</v>
      </c>
      <c r="E161" s="3" t="s">
        <v>69</v>
      </c>
      <c r="F161" s="3" t="s">
        <v>69</v>
      </c>
      <c r="G161" s="3" t="s">
        <v>69</v>
      </c>
      <c r="H161" s="3" t="s">
        <v>69</v>
      </c>
      <c r="I161" s="4" t="s">
        <v>69</v>
      </c>
      <c r="J161" s="7" t="s">
        <v>69</v>
      </c>
      <c r="K161" s="4" t="s">
        <v>69</v>
      </c>
      <c r="L161" s="4" t="s">
        <v>69</v>
      </c>
      <c r="M161" s="4" t="s">
        <v>69</v>
      </c>
      <c r="N161" s="4" t="s">
        <v>69</v>
      </c>
      <c r="O161" s="4" t="s">
        <v>69</v>
      </c>
      <c r="P161" s="4" t="s">
        <v>69</v>
      </c>
      <c r="Q161" s="4" t="s">
        <v>69</v>
      </c>
      <c r="R161" s="6" t="s">
        <v>69</v>
      </c>
      <c r="S161" s="3" t="s">
        <v>2231</v>
      </c>
      <c r="T161" s="3" t="s">
        <v>2232</v>
      </c>
      <c r="U161" s="3" t="s">
        <v>257</v>
      </c>
      <c r="V161" s="3" t="s">
        <v>2233</v>
      </c>
      <c r="W161" s="3" t="s">
        <v>2234</v>
      </c>
      <c r="X161" s="3" t="s">
        <v>2235</v>
      </c>
      <c r="Y161" s="3" t="s">
        <v>2236</v>
      </c>
      <c r="Z161" s="3" t="s">
        <v>69</v>
      </c>
      <c r="AA161" s="3" t="s">
        <v>2237</v>
      </c>
      <c r="AB161" s="3" t="s">
        <v>2238</v>
      </c>
      <c r="AC161" s="6" t="s">
        <v>2239</v>
      </c>
      <c r="AD161" s="3" t="s">
        <v>497</v>
      </c>
      <c r="AE161" s="6" t="s">
        <v>2234</v>
      </c>
      <c r="AF161" s="6" t="s">
        <v>69</v>
      </c>
      <c r="AG161" s="3" t="s">
        <v>69</v>
      </c>
      <c r="AH161" s="3" t="s">
        <v>78</v>
      </c>
      <c r="AI161" s="3" t="s">
        <v>132</v>
      </c>
      <c r="AJ161" s="3" t="s">
        <v>69</v>
      </c>
      <c r="AK161" s="3" t="s">
        <v>69</v>
      </c>
      <c r="AL161" s="3" t="s">
        <v>2240</v>
      </c>
      <c r="AM161" s="3" t="s">
        <v>69</v>
      </c>
      <c r="AN161" s="3" t="s">
        <v>69</v>
      </c>
      <c r="AO161" s="3" t="s">
        <v>69</v>
      </c>
      <c r="AP161" s="3" t="s">
        <v>2229</v>
      </c>
      <c r="AQ161" s="3" t="s">
        <v>2241</v>
      </c>
      <c r="AR161" s="3" t="s">
        <v>185</v>
      </c>
      <c r="AS161" s="3" t="s">
        <v>186</v>
      </c>
      <c r="AT161" s="3" t="s">
        <v>237</v>
      </c>
      <c r="AU161" s="3" t="s">
        <v>2242</v>
      </c>
      <c r="AV161" s="3" t="s">
        <v>214</v>
      </c>
      <c r="AW161" s="3" t="s">
        <v>2243</v>
      </c>
      <c r="AX161" s="3" t="s">
        <v>69</v>
      </c>
      <c r="AY161" s="3" t="s">
        <v>90</v>
      </c>
      <c r="AZ161" s="8" t="s">
        <v>69</v>
      </c>
      <c r="BA161" s="3" t="s">
        <v>91</v>
      </c>
      <c r="BB161" s="3" t="s">
        <v>92</v>
      </c>
      <c r="BC161" s="3" t="s">
        <v>93</v>
      </c>
      <c r="BD161" s="12" t="str">
        <f>HYPERLINK("http://www.renata.com","www.renata.com")</f>
        <v>www.renata.com</v>
      </c>
      <c r="BE161" s="12" t="str">
        <f>HYPERLINK("http://www.linkedin.com/company/renata-sa","http://www.linkedin.com/company/renata-sa")</f>
        <v>http://www.linkedin.com/company/renata-sa</v>
      </c>
      <c r="BF161" s="9">
        <v>250</v>
      </c>
      <c r="BG161" s="3" t="s">
        <v>2244</v>
      </c>
      <c r="BH161" s="3" t="s">
        <v>69</v>
      </c>
      <c r="BI161" s="3" t="s">
        <v>69</v>
      </c>
      <c r="BJ161" s="10">
        <v>1952</v>
      </c>
      <c r="BK161" s="3" t="s">
        <v>69</v>
      </c>
      <c r="BL161" s="1">
        <v>45623</v>
      </c>
      <c r="BM161" s="3" t="s">
        <v>69</v>
      </c>
      <c r="BN161" s="3" t="s">
        <v>69</v>
      </c>
      <c r="BO161" s="12" t="str">
        <f>HYPERLINK("https://my.pitchbook.com?c=635927-32","View Company Online")</f>
        <v>View Company Online</v>
      </c>
    </row>
    <row r="162" spans="1:67" x14ac:dyDescent="0.3">
      <c r="A162" s="13" t="s">
        <v>2245</v>
      </c>
      <c r="B162" s="13" t="s">
        <v>2246</v>
      </c>
      <c r="C162" s="13" t="s">
        <v>69</v>
      </c>
      <c r="D162" s="21" t="s">
        <v>69</v>
      </c>
      <c r="E162" s="13" t="s">
        <v>69</v>
      </c>
      <c r="F162" s="13" t="s">
        <v>69</v>
      </c>
      <c r="G162" s="13" t="s">
        <v>69</v>
      </c>
      <c r="H162" s="13" t="s">
        <v>69</v>
      </c>
      <c r="I162" s="19" t="s">
        <v>69</v>
      </c>
      <c r="J162" s="20" t="s">
        <v>69</v>
      </c>
      <c r="K162" s="19" t="s">
        <v>69</v>
      </c>
      <c r="L162" s="19" t="s">
        <v>69</v>
      </c>
      <c r="M162" s="19" t="s">
        <v>69</v>
      </c>
      <c r="N162" s="19" t="s">
        <v>69</v>
      </c>
      <c r="O162" s="19" t="s">
        <v>69</v>
      </c>
      <c r="P162" s="19" t="s">
        <v>69</v>
      </c>
      <c r="Q162" s="19" t="s">
        <v>69</v>
      </c>
      <c r="R162" s="18" t="s">
        <v>69</v>
      </c>
      <c r="S162" s="13" t="s">
        <v>69</v>
      </c>
      <c r="T162" s="13" t="s">
        <v>69</v>
      </c>
      <c r="U162" s="13" t="s">
        <v>69</v>
      </c>
      <c r="V162" s="13" t="s">
        <v>69</v>
      </c>
      <c r="W162" s="13" t="s">
        <v>69</v>
      </c>
      <c r="X162" s="13" t="s">
        <v>1530</v>
      </c>
      <c r="Y162" s="13" t="s">
        <v>2247</v>
      </c>
      <c r="Z162" s="13" t="s">
        <v>69</v>
      </c>
      <c r="AA162" s="13" t="s">
        <v>1532</v>
      </c>
      <c r="AB162" s="13" t="s">
        <v>2248</v>
      </c>
      <c r="AC162" s="18" t="s">
        <v>2249</v>
      </c>
      <c r="AD162" s="13" t="s">
        <v>232</v>
      </c>
      <c r="AE162" s="18" t="s">
        <v>2250</v>
      </c>
      <c r="AF162" s="18" t="s">
        <v>69</v>
      </c>
      <c r="AG162" s="13" t="s">
        <v>2251</v>
      </c>
      <c r="AH162" s="13" t="s">
        <v>78</v>
      </c>
      <c r="AI162" s="13" t="s">
        <v>132</v>
      </c>
      <c r="AJ162" s="13" t="s">
        <v>69</v>
      </c>
      <c r="AK162" s="13" t="s">
        <v>69</v>
      </c>
      <c r="AL162" s="13" t="s">
        <v>69</v>
      </c>
      <c r="AM162" s="13" t="s">
        <v>69</v>
      </c>
      <c r="AN162" s="13" t="s">
        <v>69</v>
      </c>
      <c r="AO162" s="13" t="s">
        <v>69</v>
      </c>
      <c r="AP162" s="13" t="s">
        <v>2245</v>
      </c>
      <c r="AQ162" s="13" t="s">
        <v>2252</v>
      </c>
      <c r="AR162" s="13" t="s">
        <v>85</v>
      </c>
      <c r="AS162" s="13" t="s">
        <v>711</v>
      </c>
      <c r="AT162" s="13" t="s">
        <v>1471</v>
      </c>
      <c r="AU162" s="13" t="s">
        <v>1472</v>
      </c>
      <c r="AV162" s="13" t="s">
        <v>69</v>
      </c>
      <c r="AW162" s="13" t="s">
        <v>2253</v>
      </c>
      <c r="AX162" s="13" t="s">
        <v>69</v>
      </c>
      <c r="AY162" s="13" t="s">
        <v>90</v>
      </c>
      <c r="AZ162" s="17" t="s">
        <v>69</v>
      </c>
      <c r="BA162" s="13" t="s">
        <v>69</v>
      </c>
      <c r="BB162" s="13" t="s">
        <v>92</v>
      </c>
      <c r="BC162" s="13" t="s">
        <v>93</v>
      </c>
      <c r="BD162" s="11" t="str">
        <f>HYPERLINK("http://rijksmuseum.nl","rijksmuseum.nl")</f>
        <v>rijksmuseum.nl</v>
      </c>
      <c r="BE162" s="11" t="str">
        <f>HYPERLINK("http://www.linkedin.com/company/rijksmuseum","http://www.linkedin.com/company/rijksmuseum")</f>
        <v>http://www.linkedin.com/company/rijksmuseum</v>
      </c>
      <c r="BF162" s="16">
        <v>784</v>
      </c>
      <c r="BG162" s="13" t="s">
        <v>2254</v>
      </c>
      <c r="BH162" s="13" t="s">
        <v>69</v>
      </c>
      <c r="BI162" s="13" t="s">
        <v>69</v>
      </c>
      <c r="BJ162" s="15">
        <v>1800</v>
      </c>
      <c r="BK162" s="13" t="s">
        <v>69</v>
      </c>
      <c r="BL162" s="14">
        <v>45320</v>
      </c>
      <c r="BM162" s="13" t="s">
        <v>69</v>
      </c>
      <c r="BN162" s="13" t="s">
        <v>69</v>
      </c>
      <c r="BO162" s="11" t="str">
        <f>HYPERLINK("https://my.pitchbook.com?c=569563-30","View Company Online")</f>
        <v>View Company Online</v>
      </c>
    </row>
    <row r="163" spans="1:67" x14ac:dyDescent="0.3">
      <c r="A163" s="3" t="s">
        <v>2255</v>
      </c>
      <c r="B163" s="3" t="s">
        <v>2256</v>
      </c>
      <c r="C163" s="3" t="s">
        <v>69</v>
      </c>
      <c r="D163" s="5" t="s">
        <v>69</v>
      </c>
      <c r="E163" s="3" t="s">
        <v>69</v>
      </c>
      <c r="F163" s="3" t="s">
        <v>69</v>
      </c>
      <c r="G163" s="3" t="s">
        <v>69</v>
      </c>
      <c r="H163" s="3" t="s">
        <v>69</v>
      </c>
      <c r="I163" s="4" t="s">
        <v>69</v>
      </c>
      <c r="J163" s="7" t="s">
        <v>69</v>
      </c>
      <c r="K163" s="4" t="s">
        <v>69</v>
      </c>
      <c r="L163" s="4" t="s">
        <v>69</v>
      </c>
      <c r="M163" s="4" t="s">
        <v>69</v>
      </c>
      <c r="N163" s="4" t="s">
        <v>69</v>
      </c>
      <c r="O163" s="4" t="s">
        <v>69</v>
      </c>
      <c r="P163" s="4" t="s">
        <v>69</v>
      </c>
      <c r="Q163" s="4" t="s">
        <v>69</v>
      </c>
      <c r="R163" s="6" t="s">
        <v>69</v>
      </c>
      <c r="S163" s="3" t="s">
        <v>2257</v>
      </c>
      <c r="T163" s="3" t="s">
        <v>2258</v>
      </c>
      <c r="U163" s="3" t="s">
        <v>2259</v>
      </c>
      <c r="V163" s="3" t="s">
        <v>69</v>
      </c>
      <c r="W163" s="3" t="s">
        <v>2260</v>
      </c>
      <c r="X163" s="3" t="s">
        <v>2261</v>
      </c>
      <c r="Y163" s="3" t="s">
        <v>2262</v>
      </c>
      <c r="Z163" s="3" t="s">
        <v>69</v>
      </c>
      <c r="AA163" s="3" t="s">
        <v>2263</v>
      </c>
      <c r="AB163" s="3" t="s">
        <v>69</v>
      </c>
      <c r="AC163" s="6" t="s">
        <v>2264</v>
      </c>
      <c r="AD163" s="3" t="s">
        <v>497</v>
      </c>
      <c r="AE163" s="6" t="s">
        <v>2260</v>
      </c>
      <c r="AF163" s="6" t="s">
        <v>69</v>
      </c>
      <c r="AG163" s="3" t="s">
        <v>2265</v>
      </c>
      <c r="AH163" s="3" t="s">
        <v>78</v>
      </c>
      <c r="AI163" s="3" t="s">
        <v>132</v>
      </c>
      <c r="AJ163" s="3" t="s">
        <v>69</v>
      </c>
      <c r="AK163" s="3" t="s">
        <v>2266</v>
      </c>
      <c r="AL163" s="3" t="s">
        <v>2267</v>
      </c>
      <c r="AM163" s="3" t="s">
        <v>69</v>
      </c>
      <c r="AN163" s="3" t="s">
        <v>69</v>
      </c>
      <c r="AO163" s="3" t="s">
        <v>69</v>
      </c>
      <c r="AP163" s="3" t="s">
        <v>2255</v>
      </c>
      <c r="AQ163" s="3" t="s">
        <v>2268</v>
      </c>
      <c r="AR163" s="3" t="s">
        <v>85</v>
      </c>
      <c r="AS163" s="3" t="s">
        <v>211</v>
      </c>
      <c r="AT163" s="3" t="s">
        <v>212</v>
      </c>
      <c r="AU163" s="3" t="s">
        <v>1576</v>
      </c>
      <c r="AV163" s="3" t="s">
        <v>214</v>
      </c>
      <c r="AW163" s="3" t="s">
        <v>2269</v>
      </c>
      <c r="AX163" s="3" t="s">
        <v>69</v>
      </c>
      <c r="AY163" s="3" t="s">
        <v>90</v>
      </c>
      <c r="AZ163" s="8" t="s">
        <v>69</v>
      </c>
      <c r="BA163" s="3" t="s">
        <v>91</v>
      </c>
      <c r="BB163" s="3" t="s">
        <v>92</v>
      </c>
      <c r="BC163" s="3" t="s">
        <v>93</v>
      </c>
      <c r="BD163" s="12" t="str">
        <f>HYPERLINK("http://www.roamer.ch","www.roamer.ch")</f>
        <v>www.roamer.ch</v>
      </c>
      <c r="BE163" s="12" t="str">
        <f>HYPERLINK("http://www.linkedin.com/company/roamerofswitzerland","http://www.linkedin.com/company/roamerofswitzerland")</f>
        <v>http://www.linkedin.com/company/roamerofswitzerland</v>
      </c>
      <c r="BF163" s="9">
        <v>1200</v>
      </c>
      <c r="BG163" s="3" t="s">
        <v>2270</v>
      </c>
      <c r="BH163" s="3" t="s">
        <v>69</v>
      </c>
      <c r="BI163" s="3" t="s">
        <v>69</v>
      </c>
      <c r="BJ163" s="10">
        <v>1888</v>
      </c>
      <c r="BK163" s="3" t="s">
        <v>69</v>
      </c>
      <c r="BL163" s="1">
        <v>45650</v>
      </c>
      <c r="BM163" s="3" t="s">
        <v>69</v>
      </c>
      <c r="BN163" s="3" t="s">
        <v>69</v>
      </c>
      <c r="BO163" s="12" t="str">
        <f>HYPERLINK("https://my.pitchbook.com?c=503361-28","View Company Online")</f>
        <v>View Company Online</v>
      </c>
    </row>
    <row r="164" spans="1:67" x14ac:dyDescent="0.3">
      <c r="A164" s="13" t="s">
        <v>2271</v>
      </c>
      <c r="B164" s="13" t="s">
        <v>2272</v>
      </c>
      <c r="C164" s="13" t="s">
        <v>69</v>
      </c>
      <c r="D164" s="21" t="s">
        <v>69</v>
      </c>
      <c r="E164" s="13" t="s">
        <v>69</v>
      </c>
      <c r="F164" s="13" t="s">
        <v>69</v>
      </c>
      <c r="G164" s="13" t="s">
        <v>69</v>
      </c>
      <c r="H164" s="13" t="s">
        <v>69</v>
      </c>
      <c r="I164" s="19" t="s">
        <v>69</v>
      </c>
      <c r="J164" s="20" t="s">
        <v>69</v>
      </c>
      <c r="K164" s="19" t="s">
        <v>69</v>
      </c>
      <c r="L164" s="19" t="s">
        <v>69</v>
      </c>
      <c r="M164" s="19" t="s">
        <v>69</v>
      </c>
      <c r="N164" s="19" t="s">
        <v>69</v>
      </c>
      <c r="O164" s="19" t="s">
        <v>69</v>
      </c>
      <c r="P164" s="19" t="s">
        <v>69</v>
      </c>
      <c r="Q164" s="19" t="s">
        <v>69</v>
      </c>
      <c r="R164" s="18" t="s">
        <v>69</v>
      </c>
      <c r="S164" s="13" t="s">
        <v>69</v>
      </c>
      <c r="T164" s="13" t="s">
        <v>69</v>
      </c>
      <c r="U164" s="13" t="s">
        <v>69</v>
      </c>
      <c r="V164" s="13" t="s">
        <v>69</v>
      </c>
      <c r="W164" s="13" t="s">
        <v>69</v>
      </c>
      <c r="X164" s="13" t="s">
        <v>2273</v>
      </c>
      <c r="Y164" s="13" t="s">
        <v>69</v>
      </c>
      <c r="Z164" s="13" t="s">
        <v>69</v>
      </c>
      <c r="AA164" s="13" t="s">
        <v>2274</v>
      </c>
      <c r="AB164" s="13" t="s">
        <v>1067</v>
      </c>
      <c r="AC164" s="18" t="s">
        <v>2275</v>
      </c>
      <c r="AD164" s="13" t="s">
        <v>378</v>
      </c>
      <c r="AE164" s="18" t="s">
        <v>69</v>
      </c>
      <c r="AF164" s="18" t="s">
        <v>69</v>
      </c>
      <c r="AG164" s="13" t="s">
        <v>69</v>
      </c>
      <c r="AH164" s="13" t="s">
        <v>379</v>
      </c>
      <c r="AI164" s="13" t="s">
        <v>380</v>
      </c>
      <c r="AJ164" s="13" t="s">
        <v>69</v>
      </c>
      <c r="AK164" s="13" t="s">
        <v>69</v>
      </c>
      <c r="AL164" s="13" t="s">
        <v>69</v>
      </c>
      <c r="AM164" s="13" t="s">
        <v>69</v>
      </c>
      <c r="AN164" s="13" t="s">
        <v>69</v>
      </c>
      <c r="AO164" s="13" t="s">
        <v>69</v>
      </c>
      <c r="AP164" s="13" t="s">
        <v>2271</v>
      </c>
      <c r="AQ164" s="13" t="s">
        <v>2276</v>
      </c>
      <c r="AR164" s="13" t="s">
        <v>1321</v>
      </c>
      <c r="AS164" s="13" t="s">
        <v>2277</v>
      </c>
      <c r="AT164" s="13" t="s">
        <v>2278</v>
      </c>
      <c r="AU164" s="13" t="s">
        <v>2279</v>
      </c>
      <c r="AV164" s="13" t="s">
        <v>69</v>
      </c>
      <c r="AW164" s="13" t="s">
        <v>2280</v>
      </c>
      <c r="AX164" s="13" t="s">
        <v>69</v>
      </c>
      <c r="AY164" s="13" t="s">
        <v>90</v>
      </c>
      <c r="AZ164" s="17" t="s">
        <v>69</v>
      </c>
      <c r="BA164" s="13" t="s">
        <v>91</v>
      </c>
      <c r="BB164" s="13" t="s">
        <v>92</v>
      </c>
      <c r="BC164" s="13" t="s">
        <v>93</v>
      </c>
      <c r="BD164" s="11" t="str">
        <f>HYPERLINK("http://rocheharbor.com","rocheharbor.com")</f>
        <v>rocheharbor.com</v>
      </c>
      <c r="BE164" s="11" t="str">
        <f>HYPERLINK("http://www.linkedin.com/company/rocheharborresort","http://www.linkedin.com/company/rocheharborresort")</f>
        <v>http://www.linkedin.com/company/rocheharborresort</v>
      </c>
      <c r="BF164" s="16">
        <v>103</v>
      </c>
      <c r="BG164" s="13" t="s">
        <v>2281</v>
      </c>
      <c r="BH164" s="13" t="s">
        <v>69</v>
      </c>
      <c r="BI164" s="13" t="s">
        <v>69</v>
      </c>
      <c r="BJ164" s="15">
        <v>1886</v>
      </c>
      <c r="BK164" s="13" t="s">
        <v>69</v>
      </c>
      <c r="BL164" s="14">
        <v>45635</v>
      </c>
      <c r="BM164" s="13" t="s">
        <v>69</v>
      </c>
      <c r="BN164" s="13" t="s">
        <v>69</v>
      </c>
      <c r="BO164" s="11" t="str">
        <f>HYPERLINK("https://my.pitchbook.com?c=248248-63","View Company Online")</f>
        <v>View Company Online</v>
      </c>
    </row>
    <row r="165" spans="1:67" x14ac:dyDescent="0.3">
      <c r="A165" s="3" t="s">
        <v>2282</v>
      </c>
      <c r="B165" s="3" t="s">
        <v>2283</v>
      </c>
      <c r="C165" s="3" t="s">
        <v>69</v>
      </c>
      <c r="D165" s="5" t="s">
        <v>69</v>
      </c>
      <c r="E165" s="3" t="s">
        <v>69</v>
      </c>
      <c r="F165" s="3" t="s">
        <v>69</v>
      </c>
      <c r="G165" s="3" t="s">
        <v>69</v>
      </c>
      <c r="H165" s="3" t="s">
        <v>69</v>
      </c>
      <c r="I165" s="4" t="s">
        <v>69</v>
      </c>
      <c r="J165" s="7" t="s">
        <v>69</v>
      </c>
      <c r="K165" s="4">
        <v>9.9600000000000009</v>
      </c>
      <c r="L165" s="4">
        <v>0.46</v>
      </c>
      <c r="M165" s="4" t="s">
        <v>69</v>
      </c>
      <c r="N165" s="4">
        <v>1.27</v>
      </c>
      <c r="O165" s="4">
        <v>0.92</v>
      </c>
      <c r="P165" s="4" t="s">
        <v>69</v>
      </c>
      <c r="Q165" s="4">
        <v>0</v>
      </c>
      <c r="R165" s="6" t="s">
        <v>409</v>
      </c>
      <c r="S165" s="3" t="s">
        <v>69</v>
      </c>
      <c r="T165" s="3" t="s">
        <v>69</v>
      </c>
      <c r="U165" s="3" t="s">
        <v>69</v>
      </c>
      <c r="V165" s="3" t="s">
        <v>69</v>
      </c>
      <c r="W165" s="3" t="s">
        <v>69</v>
      </c>
      <c r="X165" s="3" t="s">
        <v>2284</v>
      </c>
      <c r="Y165" s="3" t="s">
        <v>2285</v>
      </c>
      <c r="Z165" s="3" t="s">
        <v>69</v>
      </c>
      <c r="AA165" s="3" t="s">
        <v>2286</v>
      </c>
      <c r="AB165" s="3" t="s">
        <v>1313</v>
      </c>
      <c r="AC165" s="6" t="s">
        <v>2287</v>
      </c>
      <c r="AD165" s="3" t="s">
        <v>128</v>
      </c>
      <c r="AE165" s="6" t="s">
        <v>69</v>
      </c>
      <c r="AF165" s="6" t="s">
        <v>69</v>
      </c>
      <c r="AG165" s="3" t="s">
        <v>69</v>
      </c>
      <c r="AH165" s="3" t="s">
        <v>78</v>
      </c>
      <c r="AI165" s="3" t="s">
        <v>132</v>
      </c>
      <c r="AJ165" s="3" t="s">
        <v>69</v>
      </c>
      <c r="AK165" s="3" t="s">
        <v>69</v>
      </c>
      <c r="AL165" s="3" t="s">
        <v>2288</v>
      </c>
      <c r="AM165" s="3" t="s">
        <v>2289</v>
      </c>
      <c r="AN165" s="3" t="s">
        <v>874</v>
      </c>
      <c r="AO165" s="3" t="s">
        <v>69</v>
      </c>
      <c r="AP165" s="3" t="s">
        <v>2282</v>
      </c>
      <c r="AQ165" s="3" t="s">
        <v>2290</v>
      </c>
      <c r="AR165" s="3" t="s">
        <v>185</v>
      </c>
      <c r="AS165" s="3" t="s">
        <v>186</v>
      </c>
      <c r="AT165" s="3" t="s">
        <v>225</v>
      </c>
      <c r="AU165" s="3" t="s">
        <v>226</v>
      </c>
      <c r="AV165" s="3" t="s">
        <v>69</v>
      </c>
      <c r="AW165" s="3" t="s">
        <v>69</v>
      </c>
      <c r="AX165" s="3" t="s">
        <v>69</v>
      </c>
      <c r="AY165" s="3" t="s">
        <v>90</v>
      </c>
      <c r="AZ165" s="8" t="s">
        <v>69</v>
      </c>
      <c r="BA165" s="3" t="s">
        <v>69</v>
      </c>
      <c r="BB165" s="3" t="s">
        <v>92</v>
      </c>
      <c r="BC165" s="3" t="s">
        <v>93</v>
      </c>
      <c r="BD165" s="12" t="str">
        <f>HYPERLINK("http://rothfuss.de","rothfuss.de")</f>
        <v>rothfuss.de</v>
      </c>
      <c r="BE165" s="3" t="s">
        <v>69</v>
      </c>
      <c r="BF165" s="9">
        <v>61</v>
      </c>
      <c r="BG165" s="3" t="s">
        <v>2291</v>
      </c>
      <c r="BH165" s="3" t="s">
        <v>69</v>
      </c>
      <c r="BI165" s="3" t="s">
        <v>69</v>
      </c>
      <c r="BJ165" s="10">
        <v>1939</v>
      </c>
      <c r="BK165" s="3" t="s">
        <v>69</v>
      </c>
      <c r="BL165" s="1">
        <v>45704</v>
      </c>
      <c r="BM165" s="3" t="s">
        <v>69</v>
      </c>
      <c r="BN165" s="3" t="s">
        <v>69</v>
      </c>
      <c r="BO165" s="12" t="str">
        <f>HYPERLINK("https://my.pitchbook.com?c=750650-68","View Company Online")</f>
        <v>View Company Online</v>
      </c>
    </row>
    <row r="166" spans="1:67" x14ac:dyDescent="0.3">
      <c r="A166" s="13" t="s">
        <v>2292</v>
      </c>
      <c r="B166" s="13" t="s">
        <v>2293</v>
      </c>
      <c r="C166" s="13" t="s">
        <v>69</v>
      </c>
      <c r="D166" s="21" t="s">
        <v>69</v>
      </c>
      <c r="E166" s="13" t="s">
        <v>69</v>
      </c>
      <c r="F166" s="13" t="s">
        <v>69</v>
      </c>
      <c r="G166" s="13" t="s">
        <v>69</v>
      </c>
      <c r="H166" s="13" t="s">
        <v>69</v>
      </c>
      <c r="I166" s="19" t="s">
        <v>69</v>
      </c>
      <c r="J166" s="20" t="s">
        <v>69</v>
      </c>
      <c r="K166" s="19" t="s">
        <v>69</v>
      </c>
      <c r="L166" s="19" t="s">
        <v>69</v>
      </c>
      <c r="M166" s="19" t="s">
        <v>69</v>
      </c>
      <c r="N166" s="19" t="s">
        <v>69</v>
      </c>
      <c r="O166" s="19" t="s">
        <v>69</v>
      </c>
      <c r="P166" s="19" t="s">
        <v>69</v>
      </c>
      <c r="Q166" s="19" t="s">
        <v>69</v>
      </c>
      <c r="R166" s="18" t="s">
        <v>69</v>
      </c>
      <c r="S166" s="13" t="s">
        <v>69</v>
      </c>
      <c r="T166" s="13" t="s">
        <v>69</v>
      </c>
      <c r="U166" s="13" t="s">
        <v>69</v>
      </c>
      <c r="V166" s="13" t="s">
        <v>69</v>
      </c>
      <c r="W166" s="13" t="s">
        <v>69</v>
      </c>
      <c r="X166" s="13" t="s">
        <v>1003</v>
      </c>
      <c r="Y166" s="13" t="s">
        <v>2294</v>
      </c>
      <c r="Z166" s="13" t="s">
        <v>69</v>
      </c>
      <c r="AA166" s="13" t="s">
        <v>1005</v>
      </c>
      <c r="AB166" s="13" t="s">
        <v>69</v>
      </c>
      <c r="AC166" s="18" t="s">
        <v>69</v>
      </c>
      <c r="AD166" s="13" t="s">
        <v>943</v>
      </c>
      <c r="AE166" s="18" t="s">
        <v>69</v>
      </c>
      <c r="AF166" s="18" t="s">
        <v>69</v>
      </c>
      <c r="AG166" s="13" t="s">
        <v>69</v>
      </c>
      <c r="AH166" s="13" t="s">
        <v>912</v>
      </c>
      <c r="AI166" s="13" t="s">
        <v>912</v>
      </c>
      <c r="AJ166" s="13" t="s">
        <v>69</v>
      </c>
      <c r="AK166" s="13" t="s">
        <v>69</v>
      </c>
      <c r="AL166" s="13" t="s">
        <v>2295</v>
      </c>
      <c r="AM166" s="13" t="s">
        <v>69</v>
      </c>
      <c r="AN166" s="13" t="s">
        <v>69</v>
      </c>
      <c r="AO166" s="13" t="s">
        <v>69</v>
      </c>
      <c r="AP166" s="13" t="s">
        <v>2292</v>
      </c>
      <c r="AQ166" s="13" t="s">
        <v>2296</v>
      </c>
      <c r="AR166" s="13" t="s">
        <v>85</v>
      </c>
      <c r="AS166" s="13" t="s">
        <v>86</v>
      </c>
      <c r="AT166" s="13" t="s">
        <v>87</v>
      </c>
      <c r="AU166" s="13" t="s">
        <v>112</v>
      </c>
      <c r="AV166" s="13" t="s">
        <v>69</v>
      </c>
      <c r="AW166" s="13" t="s">
        <v>69</v>
      </c>
      <c r="AX166" s="13" t="s">
        <v>69</v>
      </c>
      <c r="AY166" s="13" t="s">
        <v>90</v>
      </c>
      <c r="AZ166" s="17" t="s">
        <v>69</v>
      </c>
      <c r="BA166" s="13" t="s">
        <v>69</v>
      </c>
      <c r="BB166" s="13" t="s">
        <v>92</v>
      </c>
      <c r="BC166" s="13" t="s">
        <v>93</v>
      </c>
      <c r="BD166" s="11" t="str">
        <f>HYPERLINK("http://smattarco.com","smattarco.com")</f>
        <v>smattarco.com</v>
      </c>
      <c r="BE166" s="11" t="str">
        <f>HYPERLINK("http://www.linkedin.com/company/saddik-&amp;-mohamed-attar-co-rolex-","http://www.linkedin.com/company/saddik-&amp;-mohamed-attar-co-rolex-")</f>
        <v>http://www.linkedin.com/company/saddik-&amp;-mohamed-attar-co-rolex-</v>
      </c>
      <c r="BF166" s="16">
        <v>87</v>
      </c>
      <c r="BG166" s="13" t="s">
        <v>2297</v>
      </c>
      <c r="BH166" s="13" t="s">
        <v>69</v>
      </c>
      <c r="BI166" s="13" t="s">
        <v>69</v>
      </c>
      <c r="BJ166" s="15">
        <v>1958</v>
      </c>
      <c r="BK166" s="13" t="s">
        <v>69</v>
      </c>
      <c r="BL166" s="14">
        <v>45516</v>
      </c>
      <c r="BM166" s="13" t="s">
        <v>69</v>
      </c>
      <c r="BN166" s="13" t="s">
        <v>69</v>
      </c>
      <c r="BO166" s="11" t="str">
        <f>HYPERLINK("https://my.pitchbook.com?c=631551-61","View Company Online")</f>
        <v>View Company Online</v>
      </c>
    </row>
    <row r="167" spans="1:67" x14ac:dyDescent="0.3">
      <c r="A167" s="3" t="s">
        <v>2298</v>
      </c>
      <c r="B167" s="3" t="s">
        <v>2299</v>
      </c>
      <c r="C167" s="3" t="s">
        <v>69</v>
      </c>
      <c r="D167" s="5" t="s">
        <v>69</v>
      </c>
      <c r="E167" s="3" t="s">
        <v>69</v>
      </c>
      <c r="F167" s="3" t="s">
        <v>69</v>
      </c>
      <c r="G167" s="3" t="s">
        <v>69</v>
      </c>
      <c r="H167" s="3" t="s">
        <v>69</v>
      </c>
      <c r="I167" s="4" t="s">
        <v>69</v>
      </c>
      <c r="J167" s="7" t="s">
        <v>69</v>
      </c>
      <c r="K167" s="4" t="s">
        <v>69</v>
      </c>
      <c r="L167" s="4" t="s">
        <v>69</v>
      </c>
      <c r="M167" s="4" t="s">
        <v>69</v>
      </c>
      <c r="N167" s="4" t="s">
        <v>69</v>
      </c>
      <c r="O167" s="4" t="s">
        <v>69</v>
      </c>
      <c r="P167" s="4" t="s">
        <v>69</v>
      </c>
      <c r="Q167" s="4" t="s">
        <v>69</v>
      </c>
      <c r="R167" s="6" t="s">
        <v>69</v>
      </c>
      <c r="S167" s="3" t="s">
        <v>69</v>
      </c>
      <c r="T167" s="3" t="s">
        <v>69</v>
      </c>
      <c r="U167" s="3" t="s">
        <v>69</v>
      </c>
      <c r="V167" s="3" t="s">
        <v>69</v>
      </c>
      <c r="W167" s="3" t="s">
        <v>69</v>
      </c>
      <c r="X167" s="3" t="s">
        <v>2300</v>
      </c>
      <c r="Y167" s="3" t="s">
        <v>69</v>
      </c>
      <c r="Z167" s="3" t="s">
        <v>69</v>
      </c>
      <c r="AA167" s="3" t="s">
        <v>2301</v>
      </c>
      <c r="AB167" s="3" t="s">
        <v>69</v>
      </c>
      <c r="AC167" s="6" t="s">
        <v>69</v>
      </c>
      <c r="AD167" s="3" t="s">
        <v>75</v>
      </c>
      <c r="AE167" s="6" t="s">
        <v>69</v>
      </c>
      <c r="AF167" s="6" t="s">
        <v>69</v>
      </c>
      <c r="AG167" s="3" t="s">
        <v>69</v>
      </c>
      <c r="AH167" s="3" t="s">
        <v>78</v>
      </c>
      <c r="AI167" s="3" t="s">
        <v>79</v>
      </c>
      <c r="AJ167" s="3" t="s">
        <v>69</v>
      </c>
      <c r="AK167" s="3" t="s">
        <v>69</v>
      </c>
      <c r="AL167" s="3" t="s">
        <v>69</v>
      </c>
      <c r="AM167" s="3" t="s">
        <v>69</v>
      </c>
      <c r="AN167" s="3" t="s">
        <v>69</v>
      </c>
      <c r="AO167" s="3" t="s">
        <v>69</v>
      </c>
      <c r="AP167" s="3" t="s">
        <v>2298</v>
      </c>
      <c r="AQ167" s="3" t="s">
        <v>2302</v>
      </c>
      <c r="AR167" s="3" t="s">
        <v>85</v>
      </c>
      <c r="AS167" s="3" t="s">
        <v>86</v>
      </c>
      <c r="AT167" s="3" t="s">
        <v>87</v>
      </c>
      <c r="AU167" s="3" t="s">
        <v>112</v>
      </c>
      <c r="AV167" s="3" t="s">
        <v>69</v>
      </c>
      <c r="AW167" s="3" t="s">
        <v>2303</v>
      </c>
      <c r="AX167" s="3" t="s">
        <v>69</v>
      </c>
      <c r="AY167" s="3" t="s">
        <v>90</v>
      </c>
      <c r="AZ167" s="8" t="s">
        <v>69</v>
      </c>
      <c r="BA167" s="3" t="s">
        <v>69</v>
      </c>
      <c r="BB167" s="3" t="s">
        <v>92</v>
      </c>
      <c r="BC167" s="3" t="s">
        <v>93</v>
      </c>
      <c r="BD167" s="12" t="str">
        <f>HYPERLINK("http://sarnioro.it","sarnioro.it")</f>
        <v>sarnioro.it</v>
      </c>
      <c r="BE167" s="12" t="str">
        <f>HYPERLINK("http://www.linkedin.com/company/sarnioro","http://www.linkedin.com/company/sarnioro")</f>
        <v>http://www.linkedin.com/company/sarnioro</v>
      </c>
      <c r="BF167" s="9">
        <v>220</v>
      </c>
      <c r="BG167" s="3" t="s">
        <v>2304</v>
      </c>
      <c r="BH167" s="3" t="s">
        <v>69</v>
      </c>
      <c r="BI167" s="3" t="s">
        <v>69</v>
      </c>
      <c r="BJ167" s="10" t="s">
        <v>69</v>
      </c>
      <c r="BK167" s="3" t="s">
        <v>69</v>
      </c>
      <c r="BL167" s="1">
        <v>45510</v>
      </c>
      <c r="BM167" s="3" t="s">
        <v>69</v>
      </c>
      <c r="BN167" s="3" t="s">
        <v>69</v>
      </c>
      <c r="BO167" s="12" t="str">
        <f>HYPERLINK("https://my.pitchbook.com?c=622257-58","View Company Online")</f>
        <v>View Company Online</v>
      </c>
    </row>
    <row r="168" spans="1:67" x14ac:dyDescent="0.3">
      <c r="A168" s="13" t="s">
        <v>2305</v>
      </c>
      <c r="B168" s="13" t="s">
        <v>2306</v>
      </c>
      <c r="C168" s="13" t="s">
        <v>69</v>
      </c>
      <c r="D168" s="21" t="s">
        <v>69</v>
      </c>
      <c r="E168" s="13" t="s">
        <v>69</v>
      </c>
      <c r="F168" s="13" t="s">
        <v>69</v>
      </c>
      <c r="G168" s="13" t="s">
        <v>69</v>
      </c>
      <c r="H168" s="13" t="s">
        <v>69</v>
      </c>
      <c r="I168" s="19" t="s">
        <v>69</v>
      </c>
      <c r="J168" s="20" t="s">
        <v>69</v>
      </c>
      <c r="K168" s="19" t="s">
        <v>69</v>
      </c>
      <c r="L168" s="19" t="s">
        <v>69</v>
      </c>
      <c r="M168" s="19" t="s">
        <v>69</v>
      </c>
      <c r="N168" s="19" t="s">
        <v>69</v>
      </c>
      <c r="O168" s="19" t="s">
        <v>69</v>
      </c>
      <c r="P168" s="19" t="s">
        <v>69</v>
      </c>
      <c r="Q168" s="19" t="s">
        <v>69</v>
      </c>
      <c r="R168" s="18" t="s">
        <v>69</v>
      </c>
      <c r="S168" s="13" t="s">
        <v>69</v>
      </c>
      <c r="T168" s="13" t="s">
        <v>69</v>
      </c>
      <c r="U168" s="13" t="s">
        <v>69</v>
      </c>
      <c r="V168" s="13" t="s">
        <v>69</v>
      </c>
      <c r="W168" s="13" t="s">
        <v>69</v>
      </c>
      <c r="X168" s="13" t="s">
        <v>2307</v>
      </c>
      <c r="Y168" s="13" t="s">
        <v>69</v>
      </c>
      <c r="Z168" s="13" t="s">
        <v>69</v>
      </c>
      <c r="AA168" s="13" t="s">
        <v>2308</v>
      </c>
      <c r="AB168" s="13" t="s">
        <v>417</v>
      </c>
      <c r="AC168" s="18" t="s">
        <v>2309</v>
      </c>
      <c r="AD168" s="13" t="s">
        <v>378</v>
      </c>
      <c r="AE168" s="18" t="s">
        <v>2310</v>
      </c>
      <c r="AF168" s="18" t="s">
        <v>69</v>
      </c>
      <c r="AG168" s="13" t="s">
        <v>2311</v>
      </c>
      <c r="AH168" s="13" t="s">
        <v>379</v>
      </c>
      <c r="AI168" s="13" t="s">
        <v>380</v>
      </c>
      <c r="AJ168" s="13" t="s">
        <v>69</v>
      </c>
      <c r="AK168" s="13" t="s">
        <v>69</v>
      </c>
      <c r="AL168" s="13" t="s">
        <v>69</v>
      </c>
      <c r="AM168" s="13" t="s">
        <v>69</v>
      </c>
      <c r="AN168" s="13" t="s">
        <v>69</v>
      </c>
      <c r="AO168" s="13" t="s">
        <v>69</v>
      </c>
      <c r="AP168" s="13" t="s">
        <v>2305</v>
      </c>
      <c r="AQ168" s="13" t="s">
        <v>2312</v>
      </c>
      <c r="AR168" s="13" t="s">
        <v>185</v>
      </c>
      <c r="AS168" s="13" t="s">
        <v>348</v>
      </c>
      <c r="AT168" s="13" t="s">
        <v>349</v>
      </c>
      <c r="AU168" s="13" t="s">
        <v>350</v>
      </c>
      <c r="AV168" s="13" t="s">
        <v>250</v>
      </c>
      <c r="AW168" s="13" t="s">
        <v>2313</v>
      </c>
      <c r="AX168" s="13" t="s">
        <v>69</v>
      </c>
      <c r="AY168" s="13" t="s">
        <v>90</v>
      </c>
      <c r="AZ168" s="17" t="s">
        <v>69</v>
      </c>
      <c r="BA168" s="13" t="s">
        <v>69</v>
      </c>
      <c r="BB168" s="13" t="s">
        <v>92</v>
      </c>
      <c r="BC168" s="13" t="s">
        <v>521</v>
      </c>
      <c r="BD168" s="11" t="str">
        <f>HYPERLINK("http://srteam-inc.com","srteam-inc.com")</f>
        <v>srteam-inc.com</v>
      </c>
      <c r="BE168" s="11" t="str">
        <f>HYPERLINK("http://www.linkedin.com/company/security-reconnaissance-team","http://www.linkedin.com/company/security-reconnaissance-team")</f>
        <v>http://www.linkedin.com/company/security-reconnaissance-team</v>
      </c>
      <c r="BF168" s="16">
        <v>77</v>
      </c>
      <c r="BG168" s="13" t="s">
        <v>2314</v>
      </c>
      <c r="BH168" s="13" t="s">
        <v>69</v>
      </c>
      <c r="BI168" s="13" t="s">
        <v>69</v>
      </c>
      <c r="BJ168" s="15">
        <v>2005</v>
      </c>
      <c r="BK168" s="13" t="s">
        <v>69</v>
      </c>
      <c r="BL168" s="14">
        <v>45183</v>
      </c>
      <c r="BM168" s="13" t="s">
        <v>69</v>
      </c>
      <c r="BN168" s="13" t="s">
        <v>69</v>
      </c>
      <c r="BO168" s="11" t="str">
        <f>HYPERLINK("https://my.pitchbook.com?c=137163-61","View Company Online")</f>
        <v>View Company Online</v>
      </c>
    </row>
    <row r="169" spans="1:67" x14ac:dyDescent="0.3">
      <c r="A169" s="3" t="s">
        <v>2315</v>
      </c>
      <c r="B169" s="3" t="s">
        <v>2316</v>
      </c>
      <c r="C169" s="3" t="s">
        <v>69</v>
      </c>
      <c r="D169" s="5" t="s">
        <v>69</v>
      </c>
      <c r="E169" s="3" t="s">
        <v>69</v>
      </c>
      <c r="F169" s="3" t="s">
        <v>69</v>
      </c>
      <c r="G169" s="3" t="s">
        <v>69</v>
      </c>
      <c r="H169" s="3" t="s">
        <v>69</v>
      </c>
      <c r="I169" s="4" t="s">
        <v>69</v>
      </c>
      <c r="J169" s="7" t="s">
        <v>69</v>
      </c>
      <c r="K169" s="4" t="s">
        <v>69</v>
      </c>
      <c r="L169" s="4" t="s">
        <v>69</v>
      </c>
      <c r="M169" s="4" t="s">
        <v>69</v>
      </c>
      <c r="N169" s="4" t="s">
        <v>69</v>
      </c>
      <c r="O169" s="4" t="s">
        <v>69</v>
      </c>
      <c r="P169" s="4" t="s">
        <v>69</v>
      </c>
      <c r="Q169" s="4" t="s">
        <v>69</v>
      </c>
      <c r="R169" s="6" t="s">
        <v>69</v>
      </c>
      <c r="S169" s="3" t="s">
        <v>69</v>
      </c>
      <c r="T169" s="3" t="s">
        <v>69</v>
      </c>
      <c r="U169" s="3" t="s">
        <v>69</v>
      </c>
      <c r="V169" s="3" t="s">
        <v>69</v>
      </c>
      <c r="W169" s="3" t="s">
        <v>69</v>
      </c>
      <c r="X169" s="3" t="s">
        <v>2317</v>
      </c>
      <c r="Y169" s="3" t="s">
        <v>69</v>
      </c>
      <c r="Z169" s="3" t="s">
        <v>69</v>
      </c>
      <c r="AA169" s="3" t="s">
        <v>2318</v>
      </c>
      <c r="AB169" s="3" t="s">
        <v>2319</v>
      </c>
      <c r="AC169" s="6" t="s">
        <v>2320</v>
      </c>
      <c r="AD169" s="3" t="s">
        <v>378</v>
      </c>
      <c r="AE169" s="6" t="s">
        <v>2321</v>
      </c>
      <c r="AF169" s="6" t="s">
        <v>69</v>
      </c>
      <c r="AG169" s="3" t="s">
        <v>69</v>
      </c>
      <c r="AH169" s="3" t="s">
        <v>379</v>
      </c>
      <c r="AI169" s="3" t="s">
        <v>380</v>
      </c>
      <c r="AJ169" s="3" t="s">
        <v>69</v>
      </c>
      <c r="AK169" s="3" t="s">
        <v>69</v>
      </c>
      <c r="AL169" s="3" t="s">
        <v>69</v>
      </c>
      <c r="AM169" s="3" t="s">
        <v>69</v>
      </c>
      <c r="AN169" s="3" t="s">
        <v>69</v>
      </c>
      <c r="AO169" s="3" t="s">
        <v>69</v>
      </c>
      <c r="AP169" s="3" t="s">
        <v>2315</v>
      </c>
      <c r="AQ169" s="3" t="s">
        <v>2322</v>
      </c>
      <c r="AR169" s="3" t="s">
        <v>185</v>
      </c>
      <c r="AS169" s="3" t="s">
        <v>348</v>
      </c>
      <c r="AT169" s="3" t="s">
        <v>349</v>
      </c>
      <c r="AU169" s="3" t="s">
        <v>350</v>
      </c>
      <c r="AV169" s="3" t="s">
        <v>69</v>
      </c>
      <c r="AW169" s="3" t="s">
        <v>2323</v>
      </c>
      <c r="AX169" s="3" t="s">
        <v>69</v>
      </c>
      <c r="AY169" s="3" t="s">
        <v>90</v>
      </c>
      <c r="AZ169" s="8" t="s">
        <v>69</v>
      </c>
      <c r="BA169" s="3" t="s">
        <v>91</v>
      </c>
      <c r="BB169" s="3" t="s">
        <v>92</v>
      </c>
      <c r="BC169" s="3" t="s">
        <v>93</v>
      </c>
      <c r="BD169" s="12" t="str">
        <f>HYPERLINK("http://securityutah.com","securityutah.com")</f>
        <v>securityutah.com</v>
      </c>
      <c r="BE169" s="12" t="str">
        <f>HYPERLINK("http://www.linkedin.com/company/centurion-security-utah","http://www.linkedin.com/company/centurion-security-utah")</f>
        <v>http://www.linkedin.com/company/centurion-security-utah</v>
      </c>
      <c r="BF169" s="9">
        <v>74</v>
      </c>
      <c r="BG169" s="3" t="s">
        <v>2324</v>
      </c>
      <c r="BH169" s="3" t="s">
        <v>69</v>
      </c>
      <c r="BI169" s="3" t="s">
        <v>69</v>
      </c>
      <c r="BJ169" s="10" t="s">
        <v>69</v>
      </c>
      <c r="BK169" s="3" t="s">
        <v>69</v>
      </c>
      <c r="BL169" s="1">
        <v>45135</v>
      </c>
      <c r="BM169" s="3" t="s">
        <v>69</v>
      </c>
      <c r="BN169" s="3" t="s">
        <v>69</v>
      </c>
      <c r="BO169" s="12" t="str">
        <f>HYPERLINK("https://my.pitchbook.com?c=242913-70","View Company Online")</f>
        <v>View Company Online</v>
      </c>
    </row>
    <row r="170" spans="1:67" x14ac:dyDescent="0.3">
      <c r="A170" s="13" t="s">
        <v>2325</v>
      </c>
      <c r="B170" s="13" t="s">
        <v>2326</v>
      </c>
      <c r="C170" s="13" t="s">
        <v>69</v>
      </c>
      <c r="D170" s="21" t="s">
        <v>69</v>
      </c>
      <c r="E170" s="13" t="s">
        <v>69</v>
      </c>
      <c r="F170" s="13" t="s">
        <v>69</v>
      </c>
      <c r="G170" s="13" t="s">
        <v>69</v>
      </c>
      <c r="H170" s="13" t="s">
        <v>69</v>
      </c>
      <c r="I170" s="19" t="s">
        <v>69</v>
      </c>
      <c r="J170" s="20" t="s">
        <v>69</v>
      </c>
      <c r="K170" s="19" t="s">
        <v>69</v>
      </c>
      <c r="L170" s="19" t="s">
        <v>69</v>
      </c>
      <c r="M170" s="19" t="s">
        <v>69</v>
      </c>
      <c r="N170" s="19" t="s">
        <v>69</v>
      </c>
      <c r="O170" s="19" t="s">
        <v>69</v>
      </c>
      <c r="P170" s="19" t="s">
        <v>69</v>
      </c>
      <c r="Q170" s="19" t="s">
        <v>69</v>
      </c>
      <c r="R170" s="18" t="s">
        <v>69</v>
      </c>
      <c r="S170" s="13" t="s">
        <v>2327</v>
      </c>
      <c r="T170" s="13" t="s">
        <v>2328</v>
      </c>
      <c r="U170" s="13" t="s">
        <v>2329</v>
      </c>
      <c r="V170" s="13" t="s">
        <v>2330</v>
      </c>
      <c r="W170" s="13" t="s">
        <v>2331</v>
      </c>
      <c r="X170" s="13" t="s">
        <v>1276</v>
      </c>
      <c r="Y170" s="13" t="s">
        <v>2332</v>
      </c>
      <c r="Z170" s="13" t="s">
        <v>69</v>
      </c>
      <c r="AA170" s="13" t="s">
        <v>1278</v>
      </c>
      <c r="AB170" s="13" t="s">
        <v>69</v>
      </c>
      <c r="AC170" s="18" t="s">
        <v>1520</v>
      </c>
      <c r="AD170" s="13" t="s">
        <v>497</v>
      </c>
      <c r="AE170" s="18" t="s">
        <v>2333</v>
      </c>
      <c r="AF170" s="18" t="s">
        <v>69</v>
      </c>
      <c r="AG170" s="13" t="s">
        <v>2334</v>
      </c>
      <c r="AH170" s="13" t="s">
        <v>78</v>
      </c>
      <c r="AI170" s="13" t="s">
        <v>132</v>
      </c>
      <c r="AJ170" s="13" t="s">
        <v>69</v>
      </c>
      <c r="AK170" s="13" t="s">
        <v>69</v>
      </c>
      <c r="AL170" s="13" t="s">
        <v>2335</v>
      </c>
      <c r="AM170" s="13" t="s">
        <v>69</v>
      </c>
      <c r="AN170" s="13" t="s">
        <v>69</v>
      </c>
      <c r="AO170" s="13" t="s">
        <v>69</v>
      </c>
      <c r="AP170" s="13" t="s">
        <v>2325</v>
      </c>
      <c r="AQ170" s="13" t="s">
        <v>2336</v>
      </c>
      <c r="AR170" s="13" t="s">
        <v>85</v>
      </c>
      <c r="AS170" s="13" t="s">
        <v>572</v>
      </c>
      <c r="AT170" s="13" t="s">
        <v>2030</v>
      </c>
      <c r="AU170" s="13" t="s">
        <v>2337</v>
      </c>
      <c r="AV170" s="13" t="s">
        <v>214</v>
      </c>
      <c r="AW170" s="13" t="s">
        <v>2338</v>
      </c>
      <c r="AX170" s="13" t="s">
        <v>69</v>
      </c>
      <c r="AY170" s="13" t="s">
        <v>90</v>
      </c>
      <c r="AZ170" s="17" t="s">
        <v>69</v>
      </c>
      <c r="BA170" s="13" t="s">
        <v>91</v>
      </c>
      <c r="BB170" s="13" t="s">
        <v>92</v>
      </c>
      <c r="BC170" s="13" t="s">
        <v>93</v>
      </c>
      <c r="BD170" s="11" t="str">
        <f>HYPERLINK("http://www.sellita.ch","www.sellita.ch")</f>
        <v>www.sellita.ch</v>
      </c>
      <c r="BE170" s="11" t="str">
        <f>HYPERLINK("http://www.linkedin.com/company/sellita-watch","http://www.linkedin.com/company/sellita-watch")</f>
        <v>http://www.linkedin.com/company/sellita-watch</v>
      </c>
      <c r="BF170" s="16">
        <v>135</v>
      </c>
      <c r="BG170" s="13" t="s">
        <v>2339</v>
      </c>
      <c r="BH170" s="13" t="s">
        <v>69</v>
      </c>
      <c r="BI170" s="13" t="s">
        <v>69</v>
      </c>
      <c r="BJ170" s="15">
        <v>1950</v>
      </c>
      <c r="BK170" s="13" t="s">
        <v>69</v>
      </c>
      <c r="BL170" s="14">
        <v>45448</v>
      </c>
      <c r="BM170" s="13" t="s">
        <v>69</v>
      </c>
      <c r="BN170" s="13" t="s">
        <v>69</v>
      </c>
      <c r="BO170" s="11" t="str">
        <f>HYPERLINK("https://my.pitchbook.com?c=512737-48","View Company Online")</f>
        <v>View Company Online</v>
      </c>
    </row>
    <row r="171" spans="1:67" x14ac:dyDescent="0.3">
      <c r="A171" s="3" t="s">
        <v>2340</v>
      </c>
      <c r="B171" s="3" t="s">
        <v>2341</v>
      </c>
      <c r="C171" s="3" t="s">
        <v>69</v>
      </c>
      <c r="D171" s="5" t="s">
        <v>69</v>
      </c>
      <c r="E171" s="3" t="s">
        <v>69</v>
      </c>
      <c r="F171" s="3" t="s">
        <v>69</v>
      </c>
      <c r="G171" s="3" t="s">
        <v>69</v>
      </c>
      <c r="H171" s="3" t="s">
        <v>69</v>
      </c>
      <c r="I171" s="4" t="s">
        <v>69</v>
      </c>
      <c r="J171" s="7" t="s">
        <v>69</v>
      </c>
      <c r="K171" s="4" t="s">
        <v>69</v>
      </c>
      <c r="L171" s="4" t="s">
        <v>69</v>
      </c>
      <c r="M171" s="4" t="s">
        <v>69</v>
      </c>
      <c r="N171" s="4" t="s">
        <v>69</v>
      </c>
      <c r="O171" s="4" t="s">
        <v>69</v>
      </c>
      <c r="P171" s="4" t="s">
        <v>69</v>
      </c>
      <c r="Q171" s="4" t="s">
        <v>69</v>
      </c>
      <c r="R171" s="6" t="s">
        <v>69</v>
      </c>
      <c r="S171" s="3" t="s">
        <v>69</v>
      </c>
      <c r="T171" s="3" t="s">
        <v>69</v>
      </c>
      <c r="U171" s="3" t="s">
        <v>69</v>
      </c>
      <c r="V171" s="3" t="s">
        <v>69</v>
      </c>
      <c r="W171" s="3" t="s">
        <v>69</v>
      </c>
      <c r="X171" s="3" t="s">
        <v>2342</v>
      </c>
      <c r="Y171" s="3" t="s">
        <v>2343</v>
      </c>
      <c r="Z171" s="3" t="s">
        <v>69</v>
      </c>
      <c r="AA171" s="3" t="s">
        <v>2344</v>
      </c>
      <c r="AB171" s="3" t="s">
        <v>2345</v>
      </c>
      <c r="AC171" s="6" t="s">
        <v>2346</v>
      </c>
      <c r="AD171" s="3" t="s">
        <v>1034</v>
      </c>
      <c r="AE171" s="6" t="s">
        <v>2347</v>
      </c>
      <c r="AF171" s="6" t="s">
        <v>69</v>
      </c>
      <c r="AG171" s="3" t="s">
        <v>69</v>
      </c>
      <c r="AH171" s="3" t="s">
        <v>379</v>
      </c>
      <c r="AI171" s="3" t="s">
        <v>380</v>
      </c>
      <c r="AJ171" s="3" t="s">
        <v>69</v>
      </c>
      <c r="AK171" s="3" t="s">
        <v>69</v>
      </c>
      <c r="AL171" s="3" t="s">
        <v>2348</v>
      </c>
      <c r="AM171" s="3" t="s">
        <v>69</v>
      </c>
      <c r="AN171" s="3" t="s">
        <v>69</v>
      </c>
      <c r="AO171" s="3" t="s">
        <v>69</v>
      </c>
      <c r="AP171" s="3" t="s">
        <v>2340</v>
      </c>
      <c r="AQ171" s="3" t="s">
        <v>2349</v>
      </c>
      <c r="AR171" s="3" t="s">
        <v>185</v>
      </c>
      <c r="AS171" s="3" t="s">
        <v>348</v>
      </c>
      <c r="AT171" s="3" t="s">
        <v>1159</v>
      </c>
      <c r="AU171" s="3" t="s">
        <v>2350</v>
      </c>
      <c r="AV171" s="3" t="s">
        <v>69</v>
      </c>
      <c r="AW171" s="3" t="s">
        <v>69</v>
      </c>
      <c r="AX171" s="3" t="s">
        <v>69</v>
      </c>
      <c r="AY171" s="3" t="s">
        <v>90</v>
      </c>
      <c r="AZ171" s="8" t="s">
        <v>69</v>
      </c>
      <c r="BA171" s="3" t="s">
        <v>91</v>
      </c>
      <c r="BB171" s="3" t="s">
        <v>92</v>
      </c>
      <c r="BC171" s="3" t="s">
        <v>93</v>
      </c>
      <c r="BD171" s="12" t="str">
        <f>HYPERLINK("http://seniorwatch.com","seniorwatch.com")</f>
        <v>seniorwatch.com</v>
      </c>
      <c r="BE171" s="3" t="s">
        <v>69</v>
      </c>
      <c r="BF171" s="9">
        <v>85</v>
      </c>
      <c r="BG171" s="3" t="s">
        <v>2351</v>
      </c>
      <c r="BH171" s="3" t="s">
        <v>69</v>
      </c>
      <c r="BI171" s="3" t="s">
        <v>69</v>
      </c>
      <c r="BJ171" s="10">
        <v>1987</v>
      </c>
      <c r="BK171" s="3" t="s">
        <v>69</v>
      </c>
      <c r="BL171" s="1">
        <v>45665</v>
      </c>
      <c r="BM171" s="3" t="s">
        <v>69</v>
      </c>
      <c r="BN171" s="3" t="s">
        <v>69</v>
      </c>
      <c r="BO171" s="12" t="str">
        <f>HYPERLINK("https://my.pitchbook.com?c=405782-65","View Company Online")</f>
        <v>View Company Online</v>
      </c>
    </row>
    <row r="172" spans="1:67" x14ac:dyDescent="0.3">
      <c r="A172" s="13" t="s">
        <v>2352</v>
      </c>
      <c r="B172" s="13" t="s">
        <v>2353</v>
      </c>
      <c r="C172" s="13" t="s">
        <v>69</v>
      </c>
      <c r="D172" s="21" t="s">
        <v>69</v>
      </c>
      <c r="E172" s="13" t="s">
        <v>69</v>
      </c>
      <c r="F172" s="13" t="s">
        <v>69</v>
      </c>
      <c r="G172" s="13" t="s">
        <v>69</v>
      </c>
      <c r="H172" s="13" t="s">
        <v>69</v>
      </c>
      <c r="I172" s="19" t="s">
        <v>69</v>
      </c>
      <c r="J172" s="20" t="s">
        <v>69</v>
      </c>
      <c r="K172" s="19" t="s">
        <v>69</v>
      </c>
      <c r="L172" s="19" t="s">
        <v>69</v>
      </c>
      <c r="M172" s="19" t="s">
        <v>69</v>
      </c>
      <c r="N172" s="19" t="s">
        <v>69</v>
      </c>
      <c r="O172" s="19" t="s">
        <v>69</v>
      </c>
      <c r="P172" s="19" t="s">
        <v>69</v>
      </c>
      <c r="Q172" s="19" t="s">
        <v>69</v>
      </c>
      <c r="R172" s="18" t="s">
        <v>69</v>
      </c>
      <c r="S172" s="13" t="s">
        <v>2354</v>
      </c>
      <c r="T172" s="13" t="s">
        <v>2355</v>
      </c>
      <c r="U172" s="13" t="s">
        <v>828</v>
      </c>
      <c r="V172" s="13" t="s">
        <v>2356</v>
      </c>
      <c r="W172" s="13" t="s">
        <v>2357</v>
      </c>
      <c r="X172" s="13" t="s">
        <v>2358</v>
      </c>
      <c r="Y172" s="13" t="s">
        <v>2359</v>
      </c>
      <c r="Z172" s="13" t="s">
        <v>2360</v>
      </c>
      <c r="AA172" s="13" t="s">
        <v>2024</v>
      </c>
      <c r="AB172" s="13" t="s">
        <v>69</v>
      </c>
      <c r="AC172" s="18" t="s">
        <v>69</v>
      </c>
      <c r="AD172" s="13" t="s">
        <v>2024</v>
      </c>
      <c r="AE172" s="18" t="s">
        <v>2357</v>
      </c>
      <c r="AF172" s="18" t="s">
        <v>69</v>
      </c>
      <c r="AG172" s="13" t="s">
        <v>69</v>
      </c>
      <c r="AH172" s="13" t="s">
        <v>446</v>
      </c>
      <c r="AI172" s="13" t="s">
        <v>447</v>
      </c>
      <c r="AJ172" s="13" t="s">
        <v>69</v>
      </c>
      <c r="AK172" s="13" t="s">
        <v>2361</v>
      </c>
      <c r="AL172" s="13" t="s">
        <v>2362</v>
      </c>
      <c r="AM172" s="13" t="s">
        <v>69</v>
      </c>
      <c r="AN172" s="13" t="s">
        <v>69</v>
      </c>
      <c r="AO172" s="13" t="s">
        <v>69</v>
      </c>
      <c r="AP172" s="13" t="s">
        <v>2352</v>
      </c>
      <c r="AQ172" s="13" t="s">
        <v>2363</v>
      </c>
      <c r="AR172" s="13" t="s">
        <v>85</v>
      </c>
      <c r="AS172" s="13" t="s">
        <v>271</v>
      </c>
      <c r="AT172" s="13" t="s">
        <v>272</v>
      </c>
      <c r="AU172" s="13" t="s">
        <v>2364</v>
      </c>
      <c r="AV172" s="13" t="s">
        <v>214</v>
      </c>
      <c r="AW172" s="13" t="s">
        <v>2365</v>
      </c>
      <c r="AX172" s="13" t="s">
        <v>69</v>
      </c>
      <c r="AY172" s="13" t="s">
        <v>90</v>
      </c>
      <c r="AZ172" s="17" t="s">
        <v>69</v>
      </c>
      <c r="BA172" s="13" t="s">
        <v>91</v>
      </c>
      <c r="BB172" s="13" t="s">
        <v>92</v>
      </c>
      <c r="BC172" s="13" t="s">
        <v>93</v>
      </c>
      <c r="BD172" s="11" t="str">
        <f>HYPERLINK("http://www.awellgadgets.com","www.awellgadgets.com")</f>
        <v>www.awellgadgets.com</v>
      </c>
      <c r="BE172" s="11" t="str">
        <f>HYPERLINK("http://www.linkedin.com/company/shenzhen-awell-technology-co.-ltd","http://www.linkedin.com/company/shenzhen-awell-technology-co.-ltd")</f>
        <v>http://www.linkedin.com/company/shenzhen-awell-technology-co.-ltd</v>
      </c>
      <c r="BF172" s="16">
        <v>250</v>
      </c>
      <c r="BG172" s="13" t="s">
        <v>2366</v>
      </c>
      <c r="BH172" s="13" t="s">
        <v>69</v>
      </c>
      <c r="BI172" s="13" t="s">
        <v>69</v>
      </c>
      <c r="BJ172" s="15">
        <v>2012</v>
      </c>
      <c r="BK172" s="13" t="s">
        <v>69</v>
      </c>
      <c r="BL172" s="14">
        <v>45672</v>
      </c>
      <c r="BM172" s="13" t="s">
        <v>69</v>
      </c>
      <c r="BN172" s="13" t="s">
        <v>69</v>
      </c>
      <c r="BO172" s="11" t="str">
        <f>HYPERLINK("https://my.pitchbook.com?c=707809-33","View Company Online")</f>
        <v>View Company Online</v>
      </c>
    </row>
    <row r="173" spans="1:67" x14ac:dyDescent="0.3">
      <c r="A173" s="3" t="s">
        <v>2367</v>
      </c>
      <c r="B173" s="3" t="s">
        <v>2368</v>
      </c>
      <c r="C173" s="3" t="s">
        <v>69</v>
      </c>
      <c r="D173" s="5" t="s">
        <v>69</v>
      </c>
      <c r="E173" s="3" t="s">
        <v>69</v>
      </c>
      <c r="F173" s="3" t="s">
        <v>69</v>
      </c>
      <c r="G173" s="3" t="s">
        <v>69</v>
      </c>
      <c r="H173" s="3" t="s">
        <v>69</v>
      </c>
      <c r="I173" s="4" t="s">
        <v>69</v>
      </c>
      <c r="J173" s="7" t="s">
        <v>69</v>
      </c>
      <c r="K173" s="4" t="s">
        <v>69</v>
      </c>
      <c r="L173" s="4" t="s">
        <v>69</v>
      </c>
      <c r="M173" s="4" t="s">
        <v>69</v>
      </c>
      <c r="N173" s="4" t="s">
        <v>69</v>
      </c>
      <c r="O173" s="4" t="s">
        <v>69</v>
      </c>
      <c r="P173" s="4" t="s">
        <v>69</v>
      </c>
      <c r="Q173" s="4" t="s">
        <v>69</v>
      </c>
      <c r="R173" s="6" t="s">
        <v>69</v>
      </c>
      <c r="S173" s="3" t="s">
        <v>69</v>
      </c>
      <c r="T173" s="3" t="s">
        <v>69</v>
      </c>
      <c r="U173" s="3" t="s">
        <v>69</v>
      </c>
      <c r="V173" s="3" t="s">
        <v>69</v>
      </c>
      <c r="W173" s="3" t="s">
        <v>69</v>
      </c>
      <c r="X173" s="3" t="s">
        <v>2369</v>
      </c>
      <c r="Y173" s="3" t="s">
        <v>69</v>
      </c>
      <c r="Z173" s="3" t="s">
        <v>69</v>
      </c>
      <c r="AA173" s="3" t="s">
        <v>2370</v>
      </c>
      <c r="AB173" s="3" t="s">
        <v>1067</v>
      </c>
      <c r="AC173" s="6" t="s">
        <v>2371</v>
      </c>
      <c r="AD173" s="3" t="s">
        <v>378</v>
      </c>
      <c r="AE173" s="6" t="s">
        <v>69</v>
      </c>
      <c r="AF173" s="6" t="s">
        <v>69</v>
      </c>
      <c r="AG173" s="3" t="s">
        <v>69</v>
      </c>
      <c r="AH173" s="3" t="s">
        <v>379</v>
      </c>
      <c r="AI173" s="3" t="s">
        <v>380</v>
      </c>
      <c r="AJ173" s="3" t="s">
        <v>69</v>
      </c>
      <c r="AK173" s="3" t="s">
        <v>69</v>
      </c>
      <c r="AL173" s="3" t="s">
        <v>69</v>
      </c>
      <c r="AM173" s="3" t="s">
        <v>69</v>
      </c>
      <c r="AN173" s="3" t="s">
        <v>69</v>
      </c>
      <c r="AO173" s="3" t="s">
        <v>69</v>
      </c>
      <c r="AP173" s="3" t="s">
        <v>2367</v>
      </c>
      <c r="AQ173" s="3" t="s">
        <v>2372</v>
      </c>
      <c r="AR173" s="3" t="s">
        <v>85</v>
      </c>
      <c r="AS173" s="3" t="s">
        <v>211</v>
      </c>
      <c r="AT173" s="3" t="s">
        <v>2373</v>
      </c>
      <c r="AU173" s="3" t="s">
        <v>2374</v>
      </c>
      <c r="AV173" s="3" t="s">
        <v>69</v>
      </c>
      <c r="AW173" s="3" t="s">
        <v>2375</v>
      </c>
      <c r="AX173" s="3" t="s">
        <v>69</v>
      </c>
      <c r="AY173" s="3" t="s">
        <v>90</v>
      </c>
      <c r="AZ173" s="8" t="s">
        <v>69</v>
      </c>
      <c r="BA173" s="3" t="s">
        <v>91</v>
      </c>
      <c r="BB173" s="3" t="s">
        <v>92</v>
      </c>
      <c r="BC173" s="3" t="s">
        <v>93</v>
      </c>
      <c r="BD173" s="12" t="str">
        <f>HYPERLINK("http://shopidc.com","shopidc.com")</f>
        <v>shopidc.com</v>
      </c>
      <c r="BE173" s="12" t="str">
        <f>HYPERLINK("http://www.linkedin.com/company/international-diamond-center","http://www.linkedin.com/company/international-diamond-center")</f>
        <v>http://www.linkedin.com/company/international-diamond-center</v>
      </c>
      <c r="BF173" s="9">
        <v>113</v>
      </c>
      <c r="BG173" s="3" t="s">
        <v>2376</v>
      </c>
      <c r="BH173" s="3" t="s">
        <v>69</v>
      </c>
      <c r="BI173" s="3" t="s">
        <v>69</v>
      </c>
      <c r="BJ173" s="10" t="s">
        <v>69</v>
      </c>
      <c r="BK173" s="3" t="s">
        <v>69</v>
      </c>
      <c r="BL173" s="1">
        <v>45226</v>
      </c>
      <c r="BM173" s="3" t="s">
        <v>69</v>
      </c>
      <c r="BN173" s="3" t="s">
        <v>69</v>
      </c>
      <c r="BO173" s="12" t="str">
        <f>HYPERLINK("https://my.pitchbook.com?c=249150-79","View Company Online")</f>
        <v>View Company Online</v>
      </c>
    </row>
    <row r="174" spans="1:67" x14ac:dyDescent="0.3">
      <c r="A174" s="13" t="s">
        <v>2377</v>
      </c>
      <c r="B174" s="13" t="s">
        <v>2378</v>
      </c>
      <c r="C174" s="13" t="s">
        <v>69</v>
      </c>
      <c r="D174" s="21" t="s">
        <v>69</v>
      </c>
      <c r="E174" s="13" t="s">
        <v>69</v>
      </c>
      <c r="F174" s="13" t="s">
        <v>69</v>
      </c>
      <c r="G174" s="13" t="s">
        <v>69</v>
      </c>
      <c r="H174" s="13" t="s">
        <v>69</v>
      </c>
      <c r="I174" s="19" t="s">
        <v>69</v>
      </c>
      <c r="J174" s="20" t="s">
        <v>69</v>
      </c>
      <c r="K174" s="19" t="s">
        <v>69</v>
      </c>
      <c r="L174" s="19" t="s">
        <v>69</v>
      </c>
      <c r="M174" s="19" t="s">
        <v>69</v>
      </c>
      <c r="N174" s="19" t="s">
        <v>69</v>
      </c>
      <c r="O174" s="19" t="s">
        <v>69</v>
      </c>
      <c r="P174" s="19" t="s">
        <v>69</v>
      </c>
      <c r="Q174" s="19" t="s">
        <v>69</v>
      </c>
      <c r="R174" s="18" t="s">
        <v>69</v>
      </c>
      <c r="S174" s="13" t="s">
        <v>69</v>
      </c>
      <c r="T174" s="13" t="s">
        <v>69</v>
      </c>
      <c r="U174" s="13" t="s">
        <v>69</v>
      </c>
      <c r="V174" s="13" t="s">
        <v>69</v>
      </c>
      <c r="W174" s="13" t="s">
        <v>69</v>
      </c>
      <c r="X174" s="13" t="s">
        <v>2379</v>
      </c>
      <c r="Y174" s="13" t="s">
        <v>2380</v>
      </c>
      <c r="Z174" s="13" t="s">
        <v>69</v>
      </c>
      <c r="AA174" s="13" t="s">
        <v>2381</v>
      </c>
      <c r="AB174" s="13" t="s">
        <v>2381</v>
      </c>
      <c r="AC174" s="18" t="s">
        <v>2382</v>
      </c>
      <c r="AD174" s="13" t="s">
        <v>2383</v>
      </c>
      <c r="AE174" s="18" t="s">
        <v>2384</v>
      </c>
      <c r="AF174" s="18" t="s">
        <v>69</v>
      </c>
      <c r="AG174" s="13" t="s">
        <v>2385</v>
      </c>
      <c r="AH174" s="13" t="s">
        <v>1020</v>
      </c>
      <c r="AI174" s="13" t="s">
        <v>1020</v>
      </c>
      <c r="AJ174" s="13" t="s">
        <v>69</v>
      </c>
      <c r="AK174" s="13" t="s">
        <v>69</v>
      </c>
      <c r="AL174" s="13" t="s">
        <v>69</v>
      </c>
      <c r="AM174" s="13" t="s">
        <v>69</v>
      </c>
      <c r="AN174" s="13" t="s">
        <v>69</v>
      </c>
      <c r="AO174" s="13" t="s">
        <v>69</v>
      </c>
      <c r="AP174" s="13" t="s">
        <v>2377</v>
      </c>
      <c r="AQ174" s="13" t="s">
        <v>2386</v>
      </c>
      <c r="AR174" s="13" t="s">
        <v>185</v>
      </c>
      <c r="AS174" s="13" t="s">
        <v>186</v>
      </c>
      <c r="AT174" s="13" t="s">
        <v>187</v>
      </c>
      <c r="AU174" s="13" t="s">
        <v>945</v>
      </c>
      <c r="AV174" s="13" t="s">
        <v>69</v>
      </c>
      <c r="AW174" s="13" t="s">
        <v>69</v>
      </c>
      <c r="AX174" s="13" t="s">
        <v>69</v>
      </c>
      <c r="AY174" s="13" t="s">
        <v>90</v>
      </c>
      <c r="AZ174" s="17" t="s">
        <v>69</v>
      </c>
      <c r="BA174" s="13" t="s">
        <v>69</v>
      </c>
      <c r="BB174" s="13" t="s">
        <v>92</v>
      </c>
      <c r="BC174" s="13" t="s">
        <v>93</v>
      </c>
      <c r="BD174" s="11" t="str">
        <f>HYPERLINK("http://silvermoon.co.nz","silvermoon.co.nz")</f>
        <v>silvermoon.co.nz</v>
      </c>
      <c r="BE174" s="11" t="str">
        <f>HYPERLINK("http://www.linkedin.com/company/silvermoonnz","http://www.linkedin.com/company/silvermoonnz")</f>
        <v>http://www.linkedin.com/company/silvermoonnz</v>
      </c>
      <c r="BF174" s="16">
        <v>65</v>
      </c>
      <c r="BG174" s="13" t="s">
        <v>2140</v>
      </c>
      <c r="BH174" s="13" t="s">
        <v>69</v>
      </c>
      <c r="BI174" s="13" t="s">
        <v>69</v>
      </c>
      <c r="BJ174" s="15" t="s">
        <v>69</v>
      </c>
      <c r="BK174" s="13" t="s">
        <v>69</v>
      </c>
      <c r="BL174" s="14">
        <v>45321</v>
      </c>
      <c r="BM174" s="13" t="s">
        <v>69</v>
      </c>
      <c r="BN174" s="13" t="s">
        <v>69</v>
      </c>
      <c r="BO174" s="11" t="str">
        <f>HYPERLINK("https://my.pitchbook.com?c=570606-22","View Company Online")</f>
        <v>View Company Online</v>
      </c>
    </row>
    <row r="175" spans="1:67" x14ac:dyDescent="0.3">
      <c r="A175" s="3" t="s">
        <v>2387</v>
      </c>
      <c r="B175" s="3" t="s">
        <v>2388</v>
      </c>
      <c r="C175" s="3" t="s">
        <v>69</v>
      </c>
      <c r="D175" s="5" t="s">
        <v>69</v>
      </c>
      <c r="E175" s="3" t="s">
        <v>69</v>
      </c>
      <c r="F175" s="3" t="s">
        <v>69</v>
      </c>
      <c r="G175" s="3" t="s">
        <v>69</v>
      </c>
      <c r="H175" s="3" t="s">
        <v>69</v>
      </c>
      <c r="I175" s="4" t="s">
        <v>69</v>
      </c>
      <c r="J175" s="7" t="s">
        <v>69</v>
      </c>
      <c r="K175" s="4" t="s">
        <v>69</v>
      </c>
      <c r="L175" s="4" t="s">
        <v>69</v>
      </c>
      <c r="M175" s="4" t="s">
        <v>69</v>
      </c>
      <c r="N175" s="4" t="s">
        <v>69</v>
      </c>
      <c r="O175" s="4" t="s">
        <v>69</v>
      </c>
      <c r="P175" s="4" t="s">
        <v>69</v>
      </c>
      <c r="Q175" s="4" t="s">
        <v>69</v>
      </c>
      <c r="R175" s="6" t="s">
        <v>69</v>
      </c>
      <c r="S175" s="3" t="s">
        <v>69</v>
      </c>
      <c r="T175" s="3" t="s">
        <v>69</v>
      </c>
      <c r="U175" s="3" t="s">
        <v>69</v>
      </c>
      <c r="V175" s="3" t="s">
        <v>69</v>
      </c>
      <c r="W175" s="3" t="s">
        <v>69</v>
      </c>
      <c r="X175" s="3" t="s">
        <v>2389</v>
      </c>
      <c r="Y175" s="3" t="s">
        <v>2390</v>
      </c>
      <c r="Z175" s="3" t="s">
        <v>69</v>
      </c>
      <c r="AA175" s="3" t="s">
        <v>2391</v>
      </c>
      <c r="AB175" s="3" t="s">
        <v>2392</v>
      </c>
      <c r="AC175" s="6" t="s">
        <v>2393</v>
      </c>
      <c r="AD175" s="3" t="s">
        <v>1034</v>
      </c>
      <c r="AE175" s="6" t="s">
        <v>2394</v>
      </c>
      <c r="AF175" s="6" t="s">
        <v>69</v>
      </c>
      <c r="AG175" s="3" t="s">
        <v>2395</v>
      </c>
      <c r="AH175" s="3" t="s">
        <v>379</v>
      </c>
      <c r="AI175" s="3" t="s">
        <v>380</v>
      </c>
      <c r="AJ175" s="3" t="s">
        <v>69</v>
      </c>
      <c r="AK175" s="3" t="s">
        <v>69</v>
      </c>
      <c r="AL175" s="3" t="s">
        <v>69</v>
      </c>
      <c r="AM175" s="3" t="s">
        <v>69</v>
      </c>
      <c r="AN175" s="3" t="s">
        <v>69</v>
      </c>
      <c r="AO175" s="3" t="s">
        <v>69</v>
      </c>
      <c r="AP175" s="3" t="s">
        <v>2387</v>
      </c>
      <c r="AQ175" s="3" t="s">
        <v>2396</v>
      </c>
      <c r="AR175" s="3" t="s">
        <v>422</v>
      </c>
      <c r="AS175" s="3" t="s">
        <v>423</v>
      </c>
      <c r="AT175" s="3" t="s">
        <v>1181</v>
      </c>
      <c r="AU175" s="3" t="s">
        <v>1182</v>
      </c>
      <c r="AV175" s="3" t="s">
        <v>626</v>
      </c>
      <c r="AW175" s="3" t="s">
        <v>2397</v>
      </c>
      <c r="AX175" s="3" t="s">
        <v>69</v>
      </c>
      <c r="AY175" s="3" t="s">
        <v>90</v>
      </c>
      <c r="AZ175" s="8" t="s">
        <v>69</v>
      </c>
      <c r="BA175" s="3" t="s">
        <v>69</v>
      </c>
      <c r="BB175" s="3" t="s">
        <v>92</v>
      </c>
      <c r="BC175" s="3" t="s">
        <v>93</v>
      </c>
      <c r="BD175" s="12" t="str">
        <f>HYPERLINK("http://simply.ca","simply.ca")</f>
        <v>simply.ca</v>
      </c>
      <c r="BE175" s="12" t="str">
        <f>HYPERLINK("http://www.linkedin.com/company/simply-computing","http://www.linkedin.com/company/simply-computing")</f>
        <v>http://www.linkedin.com/company/simply-computing</v>
      </c>
      <c r="BF175" s="9">
        <v>65</v>
      </c>
      <c r="BG175" s="3" t="s">
        <v>2398</v>
      </c>
      <c r="BH175" s="3" t="s">
        <v>69</v>
      </c>
      <c r="BI175" s="3" t="s">
        <v>69</v>
      </c>
      <c r="BJ175" s="10">
        <v>1984</v>
      </c>
      <c r="BK175" s="3" t="s">
        <v>69</v>
      </c>
      <c r="BL175" s="1">
        <v>45576</v>
      </c>
      <c r="BM175" s="3" t="s">
        <v>69</v>
      </c>
      <c r="BN175" s="3" t="s">
        <v>69</v>
      </c>
      <c r="BO175" s="12" t="str">
        <f>HYPERLINK("https://my.pitchbook.com?c=144632-17","View Company Online")</f>
        <v>View Company Online</v>
      </c>
    </row>
    <row r="176" spans="1:67" x14ac:dyDescent="0.3">
      <c r="A176" s="13" t="s">
        <v>2399</v>
      </c>
      <c r="B176" s="13" t="s">
        <v>2400</v>
      </c>
      <c r="C176" s="13" t="s">
        <v>69</v>
      </c>
      <c r="D176" s="21" t="s">
        <v>69</v>
      </c>
      <c r="E176" s="13" t="s">
        <v>69</v>
      </c>
      <c r="F176" s="13" t="s">
        <v>69</v>
      </c>
      <c r="G176" s="13" t="s">
        <v>69</v>
      </c>
      <c r="H176" s="13" t="s">
        <v>69</v>
      </c>
      <c r="I176" s="19" t="s">
        <v>69</v>
      </c>
      <c r="J176" s="20" t="s">
        <v>69</v>
      </c>
      <c r="K176" s="19" t="s">
        <v>69</v>
      </c>
      <c r="L176" s="19" t="s">
        <v>69</v>
      </c>
      <c r="M176" s="19" t="s">
        <v>69</v>
      </c>
      <c r="N176" s="19" t="s">
        <v>69</v>
      </c>
      <c r="O176" s="19" t="s">
        <v>69</v>
      </c>
      <c r="P176" s="19" t="s">
        <v>69</v>
      </c>
      <c r="Q176" s="19" t="s">
        <v>69</v>
      </c>
      <c r="R176" s="18" t="s">
        <v>69</v>
      </c>
      <c r="S176" s="13" t="s">
        <v>2401</v>
      </c>
      <c r="T176" s="13" t="s">
        <v>2402</v>
      </c>
      <c r="U176" s="13" t="s">
        <v>2403</v>
      </c>
      <c r="V176" s="13" t="s">
        <v>69</v>
      </c>
      <c r="W176" s="13" t="s">
        <v>2404</v>
      </c>
      <c r="X176" s="13" t="s">
        <v>2405</v>
      </c>
      <c r="Y176" s="13" t="s">
        <v>2406</v>
      </c>
      <c r="Z176" s="13" t="s">
        <v>69</v>
      </c>
      <c r="AA176" s="13" t="s">
        <v>2407</v>
      </c>
      <c r="AB176" s="13" t="s">
        <v>69</v>
      </c>
      <c r="AC176" s="18" t="s">
        <v>2408</v>
      </c>
      <c r="AD176" s="13" t="s">
        <v>497</v>
      </c>
      <c r="AE176" s="18" t="s">
        <v>2404</v>
      </c>
      <c r="AF176" s="18" t="s">
        <v>2409</v>
      </c>
      <c r="AG176" s="13" t="s">
        <v>69</v>
      </c>
      <c r="AH176" s="13" t="s">
        <v>78</v>
      </c>
      <c r="AI176" s="13" t="s">
        <v>132</v>
      </c>
      <c r="AJ176" s="13" t="s">
        <v>69</v>
      </c>
      <c r="AK176" s="13" t="s">
        <v>2410</v>
      </c>
      <c r="AL176" s="13" t="s">
        <v>2411</v>
      </c>
      <c r="AM176" s="13" t="s">
        <v>69</v>
      </c>
      <c r="AN176" s="13" t="s">
        <v>69</v>
      </c>
      <c r="AO176" s="13" t="s">
        <v>69</v>
      </c>
      <c r="AP176" s="13" t="s">
        <v>2399</v>
      </c>
      <c r="AQ176" s="13" t="s">
        <v>2412</v>
      </c>
      <c r="AR176" s="13" t="s">
        <v>85</v>
      </c>
      <c r="AS176" s="13" t="s">
        <v>211</v>
      </c>
      <c r="AT176" s="13" t="s">
        <v>212</v>
      </c>
      <c r="AU176" s="13" t="s">
        <v>2413</v>
      </c>
      <c r="AV176" s="13" t="s">
        <v>69</v>
      </c>
      <c r="AW176" s="13" t="s">
        <v>2414</v>
      </c>
      <c r="AX176" s="13" t="s">
        <v>69</v>
      </c>
      <c r="AY176" s="13" t="s">
        <v>90</v>
      </c>
      <c r="AZ176" s="17" t="s">
        <v>69</v>
      </c>
      <c r="BA176" s="13" t="s">
        <v>91</v>
      </c>
      <c r="BB176" s="13" t="s">
        <v>92</v>
      </c>
      <c r="BC176" s="13" t="s">
        <v>93</v>
      </c>
      <c r="BD176" s="11" t="str">
        <f>HYPERLINK("http://www.singersa.ch","www.singersa.ch")</f>
        <v>www.singersa.ch</v>
      </c>
      <c r="BE176" s="11" t="str">
        <f>HYPERLINK("http://www.linkedin.com/company/jean-singer-et-cie-sa","http://www.linkedin.com/company/jean-singer-et-cie-sa")</f>
        <v>http://www.linkedin.com/company/jean-singer-et-cie-sa</v>
      </c>
      <c r="BF176" s="16">
        <v>50</v>
      </c>
      <c r="BG176" s="13" t="s">
        <v>2415</v>
      </c>
      <c r="BH176" s="13" t="s">
        <v>69</v>
      </c>
      <c r="BI176" s="13" t="s">
        <v>69</v>
      </c>
      <c r="BJ176" s="15">
        <v>1918</v>
      </c>
      <c r="BK176" s="13" t="s">
        <v>69</v>
      </c>
      <c r="BL176" s="14">
        <v>45740</v>
      </c>
      <c r="BM176" s="13" t="s">
        <v>69</v>
      </c>
      <c r="BN176" s="13" t="s">
        <v>69</v>
      </c>
      <c r="BO176" s="11" t="str">
        <f>HYPERLINK("https://my.pitchbook.com?c=483552-82","View Company Online")</f>
        <v>View Company Online</v>
      </c>
    </row>
    <row r="177" spans="1:67" x14ac:dyDescent="0.3">
      <c r="A177" s="3" t="s">
        <v>2416</v>
      </c>
      <c r="B177" s="3" t="s">
        <v>2417</v>
      </c>
      <c r="C177" s="3" t="s">
        <v>69</v>
      </c>
      <c r="D177" s="5" t="s">
        <v>69</v>
      </c>
      <c r="E177" s="3" t="s">
        <v>69</v>
      </c>
      <c r="F177" s="3" t="s">
        <v>69</v>
      </c>
      <c r="G177" s="3" t="s">
        <v>69</v>
      </c>
      <c r="H177" s="3" t="s">
        <v>69</v>
      </c>
      <c r="I177" s="4" t="s">
        <v>69</v>
      </c>
      <c r="J177" s="7" t="s">
        <v>69</v>
      </c>
      <c r="K177" s="4">
        <v>16.170000000000002</v>
      </c>
      <c r="L177" s="4">
        <v>0.83</v>
      </c>
      <c r="M177" s="4" t="s">
        <v>69</v>
      </c>
      <c r="N177" s="4">
        <v>2.54</v>
      </c>
      <c r="O177" s="4">
        <v>1.7</v>
      </c>
      <c r="P177" s="4" t="s">
        <v>69</v>
      </c>
      <c r="Q177" s="4">
        <v>7.19</v>
      </c>
      <c r="R177" s="6" t="s">
        <v>118</v>
      </c>
      <c r="S177" s="3" t="s">
        <v>69</v>
      </c>
      <c r="T177" s="3" t="s">
        <v>69</v>
      </c>
      <c r="U177" s="3" t="s">
        <v>69</v>
      </c>
      <c r="V177" s="3" t="s">
        <v>69</v>
      </c>
      <c r="W177" s="3" t="s">
        <v>69</v>
      </c>
      <c r="X177" s="3" t="s">
        <v>2418</v>
      </c>
      <c r="Y177" s="3" t="s">
        <v>2419</v>
      </c>
      <c r="Z177" s="3" t="s">
        <v>69</v>
      </c>
      <c r="AA177" s="3" t="s">
        <v>2420</v>
      </c>
      <c r="AB177" s="3" t="s">
        <v>69</v>
      </c>
      <c r="AC177" s="6" t="s">
        <v>2421</v>
      </c>
      <c r="AD177" s="3" t="s">
        <v>128</v>
      </c>
      <c r="AE177" s="6" t="s">
        <v>2422</v>
      </c>
      <c r="AF177" s="6" t="s">
        <v>69</v>
      </c>
      <c r="AG177" s="3" t="s">
        <v>2423</v>
      </c>
      <c r="AH177" s="3" t="s">
        <v>78</v>
      </c>
      <c r="AI177" s="3" t="s">
        <v>132</v>
      </c>
      <c r="AJ177" s="3" t="s">
        <v>2424</v>
      </c>
      <c r="AK177" s="3" t="s">
        <v>69</v>
      </c>
      <c r="AL177" s="3" t="s">
        <v>2425</v>
      </c>
      <c r="AM177" s="3" t="s">
        <v>2426</v>
      </c>
      <c r="AN177" s="3" t="s">
        <v>2427</v>
      </c>
      <c r="AO177" s="3" t="s">
        <v>69</v>
      </c>
      <c r="AP177" s="3" t="s">
        <v>2416</v>
      </c>
      <c r="AQ177" s="3" t="s">
        <v>2428</v>
      </c>
      <c r="AR177" s="3" t="s">
        <v>185</v>
      </c>
      <c r="AS177" s="3" t="s">
        <v>348</v>
      </c>
      <c r="AT177" s="3" t="s">
        <v>349</v>
      </c>
      <c r="AU177" s="3" t="s">
        <v>350</v>
      </c>
      <c r="AV177" s="3" t="s">
        <v>69</v>
      </c>
      <c r="AW177" s="3" t="s">
        <v>69</v>
      </c>
      <c r="AX177" s="3" t="s">
        <v>69</v>
      </c>
      <c r="AY177" s="3" t="s">
        <v>90</v>
      </c>
      <c r="AZ177" s="8" t="s">
        <v>69</v>
      </c>
      <c r="BA177" s="3" t="s">
        <v>69</v>
      </c>
      <c r="BB177" s="3" t="s">
        <v>92</v>
      </c>
      <c r="BC177" s="3" t="s">
        <v>93</v>
      </c>
      <c r="BD177" s="12" t="str">
        <f>HYPERLINK("http://sinn.de","sinn.de")</f>
        <v>sinn.de</v>
      </c>
      <c r="BE177" s="3" t="s">
        <v>69</v>
      </c>
      <c r="BF177" s="9">
        <v>131</v>
      </c>
      <c r="BG177" s="3" t="s">
        <v>2429</v>
      </c>
      <c r="BH177" s="3" t="s">
        <v>69</v>
      </c>
      <c r="BI177" s="3" t="s">
        <v>69</v>
      </c>
      <c r="BJ177" s="10">
        <v>1994</v>
      </c>
      <c r="BK177" s="3" t="s">
        <v>69</v>
      </c>
      <c r="BL177" s="1">
        <v>45728</v>
      </c>
      <c r="BM177" s="3" t="s">
        <v>69</v>
      </c>
      <c r="BN177" s="3" t="s">
        <v>69</v>
      </c>
      <c r="BO177" s="12" t="str">
        <f>HYPERLINK("https://my.pitchbook.com?c=605963-53","View Company Online")</f>
        <v>View Company Online</v>
      </c>
    </row>
    <row r="178" spans="1:67" x14ac:dyDescent="0.3">
      <c r="A178" s="13" t="s">
        <v>2430</v>
      </c>
      <c r="B178" s="13" t="s">
        <v>2431</v>
      </c>
      <c r="C178" s="13" t="s">
        <v>69</v>
      </c>
      <c r="D178" s="21" t="s">
        <v>69</v>
      </c>
      <c r="E178" s="13" t="s">
        <v>69</v>
      </c>
      <c r="F178" s="13" t="s">
        <v>69</v>
      </c>
      <c r="G178" s="13" t="s">
        <v>69</v>
      </c>
      <c r="H178" s="13" t="s">
        <v>69</v>
      </c>
      <c r="I178" s="19" t="s">
        <v>69</v>
      </c>
      <c r="J178" s="20" t="s">
        <v>69</v>
      </c>
      <c r="K178" s="19" t="s">
        <v>69</v>
      </c>
      <c r="L178" s="19" t="s">
        <v>69</v>
      </c>
      <c r="M178" s="19" t="s">
        <v>69</v>
      </c>
      <c r="N178" s="19" t="s">
        <v>69</v>
      </c>
      <c r="O178" s="19" t="s">
        <v>69</v>
      </c>
      <c r="P178" s="19" t="s">
        <v>69</v>
      </c>
      <c r="Q178" s="19" t="s">
        <v>69</v>
      </c>
      <c r="R178" s="18" t="s">
        <v>69</v>
      </c>
      <c r="S178" s="13" t="s">
        <v>2432</v>
      </c>
      <c r="T178" s="13" t="s">
        <v>2433</v>
      </c>
      <c r="U178" s="13" t="s">
        <v>2434</v>
      </c>
      <c r="V178" s="13" t="s">
        <v>2435</v>
      </c>
      <c r="W178" s="13" t="s">
        <v>2436</v>
      </c>
      <c r="X178" s="13" t="s">
        <v>2437</v>
      </c>
      <c r="Y178" s="13" t="s">
        <v>2438</v>
      </c>
      <c r="Z178" s="13" t="s">
        <v>69</v>
      </c>
      <c r="AA178" s="13" t="s">
        <v>2439</v>
      </c>
      <c r="AB178" s="13" t="s">
        <v>2440</v>
      </c>
      <c r="AC178" s="18" t="s">
        <v>2441</v>
      </c>
      <c r="AD178" s="13" t="s">
        <v>378</v>
      </c>
      <c r="AE178" s="18" t="s">
        <v>2436</v>
      </c>
      <c r="AF178" s="18" t="s">
        <v>69</v>
      </c>
      <c r="AG178" s="13" t="s">
        <v>2442</v>
      </c>
      <c r="AH178" s="13" t="s">
        <v>379</v>
      </c>
      <c r="AI178" s="13" t="s">
        <v>380</v>
      </c>
      <c r="AJ178" s="13" t="s">
        <v>69</v>
      </c>
      <c r="AK178" s="13" t="s">
        <v>69</v>
      </c>
      <c r="AL178" s="13" t="s">
        <v>2443</v>
      </c>
      <c r="AM178" s="13" t="s">
        <v>69</v>
      </c>
      <c r="AN178" s="13" t="s">
        <v>69</v>
      </c>
      <c r="AO178" s="13" t="s">
        <v>69</v>
      </c>
      <c r="AP178" s="13" t="s">
        <v>2430</v>
      </c>
      <c r="AQ178" s="13" t="s">
        <v>2444</v>
      </c>
      <c r="AR178" s="13" t="s">
        <v>85</v>
      </c>
      <c r="AS178" s="13" t="s">
        <v>211</v>
      </c>
      <c r="AT178" s="13" t="s">
        <v>212</v>
      </c>
      <c r="AU178" s="13" t="s">
        <v>798</v>
      </c>
      <c r="AV178" s="13" t="s">
        <v>113</v>
      </c>
      <c r="AW178" s="13" t="s">
        <v>2445</v>
      </c>
      <c r="AX178" s="13" t="s">
        <v>69</v>
      </c>
      <c r="AY178" s="13" t="s">
        <v>90</v>
      </c>
      <c r="AZ178" s="17" t="s">
        <v>69</v>
      </c>
      <c r="BA178" s="13" t="s">
        <v>91</v>
      </c>
      <c r="BB178" s="13" t="s">
        <v>92</v>
      </c>
      <c r="BC178" s="13" t="s">
        <v>93</v>
      </c>
      <c r="BD178" s="11" t="str">
        <f>HYPERLINK("http://www.sissyslogcabin.com","www.sissyslogcabin.com")</f>
        <v>www.sissyslogcabin.com</v>
      </c>
      <c r="BE178" s="11" t="str">
        <f>HYPERLINK("http://www.linkedin.com/company/sissy's-log-cabin","http://www.linkedin.com/company/sissy's-log-cabin")</f>
        <v>http://www.linkedin.com/company/sissy's-log-cabin</v>
      </c>
      <c r="BF178" s="16">
        <v>60</v>
      </c>
      <c r="BG178" s="13" t="s">
        <v>2446</v>
      </c>
      <c r="BH178" s="13" t="s">
        <v>69</v>
      </c>
      <c r="BI178" s="13" t="s">
        <v>69</v>
      </c>
      <c r="BJ178" s="15">
        <v>1970</v>
      </c>
      <c r="BK178" s="13" t="s">
        <v>69</v>
      </c>
      <c r="BL178" s="14">
        <v>45659</v>
      </c>
      <c r="BM178" s="13" t="s">
        <v>69</v>
      </c>
      <c r="BN178" s="13" t="s">
        <v>69</v>
      </c>
      <c r="BO178" s="11" t="str">
        <f>HYPERLINK("https://my.pitchbook.com?c=336753-28","View Company Online")</f>
        <v>View Company Online</v>
      </c>
    </row>
    <row r="179" spans="1:67" x14ac:dyDescent="0.3">
      <c r="A179" s="3" t="s">
        <v>2447</v>
      </c>
      <c r="B179" s="3" t="s">
        <v>2448</v>
      </c>
      <c r="C179" s="3" t="s">
        <v>69</v>
      </c>
      <c r="D179" s="5" t="s">
        <v>69</v>
      </c>
      <c r="E179" s="3" t="s">
        <v>69</v>
      </c>
      <c r="F179" s="3" t="s">
        <v>69</v>
      </c>
      <c r="G179" s="3" t="s">
        <v>69</v>
      </c>
      <c r="H179" s="3" t="s">
        <v>69</v>
      </c>
      <c r="I179" s="4" t="s">
        <v>69</v>
      </c>
      <c r="J179" s="7" t="s">
        <v>69</v>
      </c>
      <c r="K179" s="4" t="s">
        <v>69</v>
      </c>
      <c r="L179" s="4" t="s">
        <v>69</v>
      </c>
      <c r="M179" s="4" t="s">
        <v>69</v>
      </c>
      <c r="N179" s="4" t="s">
        <v>69</v>
      </c>
      <c r="O179" s="4" t="s">
        <v>69</v>
      </c>
      <c r="P179" s="4" t="s">
        <v>69</v>
      </c>
      <c r="Q179" s="4" t="s">
        <v>69</v>
      </c>
      <c r="R179" s="6" t="s">
        <v>69</v>
      </c>
      <c r="S179" s="3" t="s">
        <v>69</v>
      </c>
      <c r="T179" s="3" t="s">
        <v>69</v>
      </c>
      <c r="U179" s="3" t="s">
        <v>69</v>
      </c>
      <c r="V179" s="3" t="s">
        <v>69</v>
      </c>
      <c r="W179" s="3" t="s">
        <v>69</v>
      </c>
      <c r="X179" s="3" t="s">
        <v>2449</v>
      </c>
      <c r="Y179" s="3" t="s">
        <v>2450</v>
      </c>
      <c r="Z179" s="3" t="s">
        <v>69</v>
      </c>
      <c r="AA179" s="3" t="s">
        <v>2451</v>
      </c>
      <c r="AB179" s="3" t="s">
        <v>834</v>
      </c>
      <c r="AC179" s="6" t="s">
        <v>2452</v>
      </c>
      <c r="AD179" s="3" t="s">
        <v>378</v>
      </c>
      <c r="AE179" s="6" t="s">
        <v>2453</v>
      </c>
      <c r="AF179" s="6" t="s">
        <v>69</v>
      </c>
      <c r="AG179" s="3" t="s">
        <v>69</v>
      </c>
      <c r="AH179" s="3" t="s">
        <v>379</v>
      </c>
      <c r="AI179" s="3" t="s">
        <v>380</v>
      </c>
      <c r="AJ179" s="3" t="s">
        <v>69</v>
      </c>
      <c r="AK179" s="3" t="s">
        <v>69</v>
      </c>
      <c r="AL179" s="3" t="s">
        <v>2454</v>
      </c>
      <c r="AM179" s="3" t="s">
        <v>69</v>
      </c>
      <c r="AN179" s="3" t="s">
        <v>69</v>
      </c>
      <c r="AO179" s="3" t="s">
        <v>69</v>
      </c>
      <c r="AP179" s="3" t="s">
        <v>2447</v>
      </c>
      <c r="AQ179" s="3" t="s">
        <v>2455</v>
      </c>
      <c r="AR179" s="3" t="s">
        <v>185</v>
      </c>
      <c r="AS179" s="3" t="s">
        <v>348</v>
      </c>
      <c r="AT179" s="3" t="s">
        <v>481</v>
      </c>
      <c r="AU179" s="3" t="s">
        <v>821</v>
      </c>
      <c r="AV179" s="3" t="s">
        <v>69</v>
      </c>
      <c r="AW179" s="3" t="s">
        <v>2456</v>
      </c>
      <c r="AX179" s="3" t="s">
        <v>69</v>
      </c>
      <c r="AY179" s="3" t="s">
        <v>90</v>
      </c>
      <c r="AZ179" s="8" t="s">
        <v>69</v>
      </c>
      <c r="BA179" s="3" t="s">
        <v>1233</v>
      </c>
      <c r="BB179" s="3" t="s">
        <v>92</v>
      </c>
      <c r="BC179" s="3" t="s">
        <v>93</v>
      </c>
      <c r="BD179" s="12" t="str">
        <f>HYPERLINK("http://srp-security.com","srp-security.com")</f>
        <v>srp-security.com</v>
      </c>
      <c r="BE179" s="12" t="str">
        <f>HYPERLINK("http://www.linkedin.com/company/srp-security","http://www.linkedin.com/company/srp-security")</f>
        <v>http://www.linkedin.com/company/srp-security</v>
      </c>
      <c r="BF179" s="9">
        <v>50</v>
      </c>
      <c r="BG179" s="3" t="s">
        <v>2457</v>
      </c>
      <c r="BH179" s="3" t="s">
        <v>69</v>
      </c>
      <c r="BI179" s="3" t="s">
        <v>69</v>
      </c>
      <c r="BJ179" s="10">
        <v>2017</v>
      </c>
      <c r="BK179" s="3" t="s">
        <v>69</v>
      </c>
      <c r="BL179" s="1">
        <v>45742</v>
      </c>
      <c r="BM179" s="3" t="s">
        <v>69</v>
      </c>
      <c r="BN179" s="3" t="s">
        <v>69</v>
      </c>
      <c r="BO179" s="12" t="str">
        <f>HYPERLINK("https://my.pitchbook.com?c=758005-48","View Company Online")</f>
        <v>View Company Online</v>
      </c>
    </row>
    <row r="180" spans="1:67" x14ac:dyDescent="0.3">
      <c r="A180" s="13" t="s">
        <v>2458</v>
      </c>
      <c r="B180" s="13" t="s">
        <v>2459</v>
      </c>
      <c r="C180" s="13" t="s">
        <v>69</v>
      </c>
      <c r="D180" s="21" t="s">
        <v>69</v>
      </c>
      <c r="E180" s="13" t="s">
        <v>69</v>
      </c>
      <c r="F180" s="13" t="s">
        <v>69</v>
      </c>
      <c r="G180" s="13" t="s">
        <v>69</v>
      </c>
      <c r="H180" s="13" t="s">
        <v>69</v>
      </c>
      <c r="I180" s="19" t="s">
        <v>69</v>
      </c>
      <c r="J180" s="20" t="s">
        <v>69</v>
      </c>
      <c r="K180" s="19" t="s">
        <v>69</v>
      </c>
      <c r="L180" s="19" t="s">
        <v>69</v>
      </c>
      <c r="M180" s="19" t="s">
        <v>69</v>
      </c>
      <c r="N180" s="19" t="s">
        <v>69</v>
      </c>
      <c r="O180" s="19" t="s">
        <v>69</v>
      </c>
      <c r="P180" s="19" t="s">
        <v>69</v>
      </c>
      <c r="Q180" s="19">
        <v>0</v>
      </c>
      <c r="R180" s="18" t="s">
        <v>70</v>
      </c>
      <c r="S180" s="13" t="s">
        <v>69</v>
      </c>
      <c r="T180" s="13" t="s">
        <v>69</v>
      </c>
      <c r="U180" s="13" t="s">
        <v>69</v>
      </c>
      <c r="V180" s="13" t="s">
        <v>69</v>
      </c>
      <c r="W180" s="13" t="s">
        <v>69</v>
      </c>
      <c r="X180" s="13" t="s">
        <v>2460</v>
      </c>
      <c r="Y180" s="13" t="s">
        <v>2461</v>
      </c>
      <c r="Z180" s="13" t="s">
        <v>69</v>
      </c>
      <c r="AA180" s="13" t="s">
        <v>2462</v>
      </c>
      <c r="AB180" s="13" t="s">
        <v>222</v>
      </c>
      <c r="AC180" s="18" t="s">
        <v>2463</v>
      </c>
      <c r="AD180" s="13" t="s">
        <v>162</v>
      </c>
      <c r="AE180" s="18" t="s">
        <v>69</v>
      </c>
      <c r="AF180" s="18" t="s">
        <v>69</v>
      </c>
      <c r="AG180" s="13" t="s">
        <v>69</v>
      </c>
      <c r="AH180" s="13" t="s">
        <v>78</v>
      </c>
      <c r="AI180" s="13" t="s">
        <v>132</v>
      </c>
      <c r="AJ180" s="13" t="s">
        <v>69</v>
      </c>
      <c r="AK180" s="13" t="s">
        <v>69</v>
      </c>
      <c r="AL180" s="13" t="s">
        <v>2464</v>
      </c>
      <c r="AM180" s="13" t="s">
        <v>2465</v>
      </c>
      <c r="AN180" s="13" t="s">
        <v>165</v>
      </c>
      <c r="AO180" s="13" t="s">
        <v>69</v>
      </c>
      <c r="AP180" s="13" t="s">
        <v>2458</v>
      </c>
      <c r="AQ180" s="13" t="s">
        <v>2466</v>
      </c>
      <c r="AR180" s="13" t="s">
        <v>85</v>
      </c>
      <c r="AS180" s="13" t="s">
        <v>711</v>
      </c>
      <c r="AT180" s="13" t="s">
        <v>1022</v>
      </c>
      <c r="AU180" s="13" t="s">
        <v>1023</v>
      </c>
      <c r="AV180" s="13" t="s">
        <v>69</v>
      </c>
      <c r="AW180" s="13" t="s">
        <v>69</v>
      </c>
      <c r="AX180" s="13" t="s">
        <v>69</v>
      </c>
      <c r="AY180" s="13" t="s">
        <v>90</v>
      </c>
      <c r="AZ180" s="17" t="s">
        <v>69</v>
      </c>
      <c r="BA180" s="13" t="s">
        <v>69</v>
      </c>
      <c r="BB180" s="13" t="s">
        <v>92</v>
      </c>
      <c r="BC180" s="13" t="s">
        <v>93</v>
      </c>
      <c r="BD180" s="11" t="str">
        <f>HYPERLINK("http://stoneybrookclocks.com","stoneybrookclocks.com")</f>
        <v>stoneybrookclocks.com</v>
      </c>
      <c r="BE180" s="13" t="s">
        <v>69</v>
      </c>
      <c r="BF180" s="16">
        <v>50</v>
      </c>
      <c r="BG180" s="13" t="s">
        <v>2467</v>
      </c>
      <c r="BH180" s="13" t="s">
        <v>69</v>
      </c>
      <c r="BI180" s="13" t="s">
        <v>69</v>
      </c>
      <c r="BJ180" s="15">
        <v>2014</v>
      </c>
      <c r="BK180" s="13" t="s">
        <v>69</v>
      </c>
      <c r="BL180" s="14">
        <v>45666</v>
      </c>
      <c r="BM180" s="13" t="s">
        <v>69</v>
      </c>
      <c r="BN180" s="13" t="s">
        <v>69</v>
      </c>
      <c r="BO180" s="11" t="str">
        <f>HYPERLINK("https://my.pitchbook.com?c=341307-82","View Company Online")</f>
        <v>View Company Online</v>
      </c>
    </row>
    <row r="181" spans="1:67" x14ac:dyDescent="0.3">
      <c r="A181" s="3" t="s">
        <v>2468</v>
      </c>
      <c r="B181" s="3" t="s">
        <v>2469</v>
      </c>
      <c r="C181" s="3" t="s">
        <v>69</v>
      </c>
      <c r="D181" s="5" t="s">
        <v>69</v>
      </c>
      <c r="E181" s="3" t="s">
        <v>69</v>
      </c>
      <c r="F181" s="3" t="s">
        <v>69</v>
      </c>
      <c r="G181" s="3" t="s">
        <v>69</v>
      </c>
      <c r="H181" s="3" t="s">
        <v>69</v>
      </c>
      <c r="I181" s="4" t="s">
        <v>69</v>
      </c>
      <c r="J181" s="7" t="s">
        <v>69</v>
      </c>
      <c r="K181" s="4" t="s">
        <v>69</v>
      </c>
      <c r="L181" s="4" t="s">
        <v>69</v>
      </c>
      <c r="M181" s="4" t="s">
        <v>69</v>
      </c>
      <c r="N181" s="4" t="s">
        <v>69</v>
      </c>
      <c r="O181" s="4" t="s">
        <v>69</v>
      </c>
      <c r="P181" s="4" t="s">
        <v>69</v>
      </c>
      <c r="Q181" s="4">
        <v>0</v>
      </c>
      <c r="R181" s="6" t="s">
        <v>156</v>
      </c>
      <c r="S181" s="3" t="s">
        <v>69</v>
      </c>
      <c r="T181" s="3" t="s">
        <v>69</v>
      </c>
      <c r="U181" s="3" t="s">
        <v>69</v>
      </c>
      <c r="V181" s="3" t="s">
        <v>69</v>
      </c>
      <c r="W181" s="3" t="s">
        <v>69</v>
      </c>
      <c r="X181" s="3" t="s">
        <v>2470</v>
      </c>
      <c r="Y181" s="3" t="s">
        <v>2471</v>
      </c>
      <c r="Z181" s="3" t="s">
        <v>69</v>
      </c>
      <c r="AA181" s="3" t="s">
        <v>2472</v>
      </c>
      <c r="AB181" s="3" t="s">
        <v>222</v>
      </c>
      <c r="AC181" s="6" t="s">
        <v>2473</v>
      </c>
      <c r="AD181" s="3" t="s">
        <v>162</v>
      </c>
      <c r="AE181" s="6" t="s">
        <v>69</v>
      </c>
      <c r="AF181" s="6" t="s">
        <v>69</v>
      </c>
      <c r="AG181" s="3" t="s">
        <v>69</v>
      </c>
      <c r="AH181" s="3" t="s">
        <v>78</v>
      </c>
      <c r="AI181" s="3" t="s">
        <v>132</v>
      </c>
      <c r="AJ181" s="3" t="s">
        <v>69</v>
      </c>
      <c r="AK181" s="3" t="s">
        <v>69</v>
      </c>
      <c r="AL181" s="3" t="s">
        <v>2474</v>
      </c>
      <c r="AM181" s="3" t="s">
        <v>2475</v>
      </c>
      <c r="AN181" s="3" t="s">
        <v>165</v>
      </c>
      <c r="AO181" s="3" t="s">
        <v>69</v>
      </c>
      <c r="AP181" s="3" t="s">
        <v>2468</v>
      </c>
      <c r="AQ181" s="3" t="s">
        <v>2476</v>
      </c>
      <c r="AR181" s="3" t="s">
        <v>383</v>
      </c>
      <c r="AS181" s="3" t="s">
        <v>384</v>
      </c>
      <c r="AT181" s="3" t="s">
        <v>811</v>
      </c>
      <c r="AU181" s="3" t="s">
        <v>2102</v>
      </c>
      <c r="AV181" s="3" t="s">
        <v>69</v>
      </c>
      <c r="AW181" s="3" t="s">
        <v>69</v>
      </c>
      <c r="AX181" s="3" t="s">
        <v>69</v>
      </c>
      <c r="AY181" s="3" t="s">
        <v>90</v>
      </c>
      <c r="AZ181" s="8" t="s">
        <v>69</v>
      </c>
      <c r="BA181" s="3" t="s">
        <v>69</v>
      </c>
      <c r="BB181" s="3" t="s">
        <v>92</v>
      </c>
      <c r="BC181" s="3" t="s">
        <v>93</v>
      </c>
      <c r="BD181" s="12" t="str">
        <f>HYPERLINK("http://techscheme.co.uk","techscheme.co.uk")</f>
        <v>techscheme.co.uk</v>
      </c>
      <c r="BE181" s="3" t="s">
        <v>69</v>
      </c>
      <c r="BF181" s="9">
        <v>69</v>
      </c>
      <c r="BG181" s="3" t="s">
        <v>2477</v>
      </c>
      <c r="BH181" s="3" t="s">
        <v>69</v>
      </c>
      <c r="BI181" s="3" t="s">
        <v>69</v>
      </c>
      <c r="BJ181" s="10">
        <v>2004</v>
      </c>
      <c r="BK181" s="3" t="s">
        <v>2478</v>
      </c>
      <c r="BL181" s="1">
        <v>45727</v>
      </c>
      <c r="BM181" s="3" t="s">
        <v>69</v>
      </c>
      <c r="BN181" s="3" t="s">
        <v>69</v>
      </c>
      <c r="BO181" s="12" t="str">
        <f>HYPERLINK("https://my.pitchbook.com?c=225028-54","View Company Online")</f>
        <v>View Company Online</v>
      </c>
    </row>
    <row r="182" spans="1:67" x14ac:dyDescent="0.3">
      <c r="A182" s="13" t="s">
        <v>2479</v>
      </c>
      <c r="B182" s="13" t="s">
        <v>2480</v>
      </c>
      <c r="C182" s="13" t="s">
        <v>69</v>
      </c>
      <c r="D182" s="21" t="s">
        <v>69</v>
      </c>
      <c r="E182" s="13" t="s">
        <v>69</v>
      </c>
      <c r="F182" s="13" t="s">
        <v>69</v>
      </c>
      <c r="G182" s="13" t="s">
        <v>69</v>
      </c>
      <c r="H182" s="13" t="s">
        <v>69</v>
      </c>
      <c r="I182" s="19" t="s">
        <v>69</v>
      </c>
      <c r="J182" s="20" t="s">
        <v>69</v>
      </c>
      <c r="K182" s="19" t="s">
        <v>69</v>
      </c>
      <c r="L182" s="19" t="s">
        <v>69</v>
      </c>
      <c r="M182" s="19" t="s">
        <v>69</v>
      </c>
      <c r="N182" s="19" t="s">
        <v>69</v>
      </c>
      <c r="O182" s="19" t="s">
        <v>69</v>
      </c>
      <c r="P182" s="19" t="s">
        <v>69</v>
      </c>
      <c r="Q182" s="19">
        <v>0</v>
      </c>
      <c r="R182" s="18" t="s">
        <v>118</v>
      </c>
      <c r="S182" s="13" t="s">
        <v>2481</v>
      </c>
      <c r="T182" s="13" t="s">
        <v>2482</v>
      </c>
      <c r="U182" s="13" t="s">
        <v>2483</v>
      </c>
      <c r="V182" s="13" t="s">
        <v>2484</v>
      </c>
      <c r="W182" s="13" t="s">
        <v>2485</v>
      </c>
      <c r="X182" s="13" t="s">
        <v>1082</v>
      </c>
      <c r="Y182" s="13" t="s">
        <v>2486</v>
      </c>
      <c r="Z182" s="13" t="s">
        <v>69</v>
      </c>
      <c r="AA182" s="13" t="s">
        <v>1084</v>
      </c>
      <c r="AB182" s="13" t="s">
        <v>2487</v>
      </c>
      <c r="AC182" s="18" t="s">
        <v>2488</v>
      </c>
      <c r="AD182" s="13" t="s">
        <v>128</v>
      </c>
      <c r="AE182" s="18" t="s">
        <v>2485</v>
      </c>
      <c r="AF182" s="18" t="s">
        <v>69</v>
      </c>
      <c r="AG182" s="13" t="s">
        <v>2489</v>
      </c>
      <c r="AH182" s="13" t="s">
        <v>78</v>
      </c>
      <c r="AI182" s="13" t="s">
        <v>132</v>
      </c>
      <c r="AJ182" s="13" t="s">
        <v>69</v>
      </c>
      <c r="AK182" s="13" t="s">
        <v>69</v>
      </c>
      <c r="AL182" s="13" t="s">
        <v>2490</v>
      </c>
      <c r="AM182" s="13" t="s">
        <v>2491</v>
      </c>
      <c r="AN182" s="13" t="s">
        <v>2492</v>
      </c>
      <c r="AO182" s="13" t="s">
        <v>69</v>
      </c>
      <c r="AP182" s="13" t="s">
        <v>2479</v>
      </c>
      <c r="AQ182" s="13" t="s">
        <v>2493</v>
      </c>
      <c r="AR182" s="13" t="s">
        <v>85</v>
      </c>
      <c r="AS182" s="13" t="s">
        <v>211</v>
      </c>
      <c r="AT182" s="13" t="s">
        <v>212</v>
      </c>
      <c r="AU182" s="13" t="s">
        <v>2494</v>
      </c>
      <c r="AV182" s="13" t="s">
        <v>69</v>
      </c>
      <c r="AW182" s="13" t="s">
        <v>2495</v>
      </c>
      <c r="AX182" s="13" t="s">
        <v>69</v>
      </c>
      <c r="AY182" s="13" t="s">
        <v>90</v>
      </c>
      <c r="AZ182" s="17" t="s">
        <v>69</v>
      </c>
      <c r="BA182" s="13" t="s">
        <v>91</v>
      </c>
      <c r="BB182" s="13" t="s">
        <v>92</v>
      </c>
      <c r="BC182" s="13" t="s">
        <v>93</v>
      </c>
      <c r="BD182" s="11" t="str">
        <f>HYPERLINK("http://www.tempusarte.com","www.tempusarte.com")</f>
        <v>www.tempusarte.com</v>
      </c>
      <c r="BE182" s="13" t="s">
        <v>69</v>
      </c>
      <c r="BF182" s="16">
        <v>59</v>
      </c>
      <c r="BG182" s="13" t="s">
        <v>2496</v>
      </c>
      <c r="BH182" s="13" t="s">
        <v>69</v>
      </c>
      <c r="BI182" s="13" t="s">
        <v>69</v>
      </c>
      <c r="BJ182" s="15">
        <v>2013</v>
      </c>
      <c r="BK182" s="13" t="s">
        <v>69</v>
      </c>
      <c r="BL182" s="14">
        <v>45716</v>
      </c>
      <c r="BM182" s="13" t="s">
        <v>69</v>
      </c>
      <c r="BN182" s="13" t="s">
        <v>69</v>
      </c>
      <c r="BO182" s="11" t="str">
        <f>HYPERLINK("https://my.pitchbook.com?c=490171-69","View Company Online")</f>
        <v>View Company Online</v>
      </c>
    </row>
    <row r="183" spans="1:67" x14ac:dyDescent="0.3">
      <c r="A183" s="3" t="s">
        <v>2497</v>
      </c>
      <c r="B183" s="3" t="s">
        <v>2498</v>
      </c>
      <c r="C183" s="3" t="s">
        <v>69</v>
      </c>
      <c r="D183" s="5" t="s">
        <v>69</v>
      </c>
      <c r="E183" s="3" t="s">
        <v>69</v>
      </c>
      <c r="F183" s="3" t="s">
        <v>69</v>
      </c>
      <c r="G183" s="3" t="s">
        <v>69</v>
      </c>
      <c r="H183" s="3" t="s">
        <v>69</v>
      </c>
      <c r="I183" s="4" t="s">
        <v>69</v>
      </c>
      <c r="J183" s="7" t="s">
        <v>69</v>
      </c>
      <c r="K183" s="4" t="s">
        <v>69</v>
      </c>
      <c r="L183" s="4" t="s">
        <v>69</v>
      </c>
      <c r="M183" s="4" t="s">
        <v>69</v>
      </c>
      <c r="N183" s="4" t="s">
        <v>69</v>
      </c>
      <c r="O183" s="4" t="s">
        <v>69</v>
      </c>
      <c r="P183" s="4" t="s">
        <v>69</v>
      </c>
      <c r="Q183" s="4" t="s">
        <v>69</v>
      </c>
      <c r="R183" s="6" t="s">
        <v>69</v>
      </c>
      <c r="S183" s="3" t="s">
        <v>69</v>
      </c>
      <c r="T183" s="3" t="s">
        <v>69</v>
      </c>
      <c r="U183" s="3" t="s">
        <v>69</v>
      </c>
      <c r="V183" s="3" t="s">
        <v>69</v>
      </c>
      <c r="W183" s="3" t="s">
        <v>69</v>
      </c>
      <c r="X183" s="3" t="s">
        <v>2499</v>
      </c>
      <c r="Y183" s="3" t="s">
        <v>2500</v>
      </c>
      <c r="Z183" s="3" t="s">
        <v>69</v>
      </c>
      <c r="AA183" s="3" t="s">
        <v>2501</v>
      </c>
      <c r="AB183" s="3" t="s">
        <v>1255</v>
      </c>
      <c r="AC183" s="6" t="s">
        <v>2502</v>
      </c>
      <c r="AD183" s="3" t="s">
        <v>128</v>
      </c>
      <c r="AE183" s="6" t="s">
        <v>69</v>
      </c>
      <c r="AF183" s="6" t="s">
        <v>69</v>
      </c>
      <c r="AG183" s="3" t="s">
        <v>69</v>
      </c>
      <c r="AH183" s="3" t="s">
        <v>78</v>
      </c>
      <c r="AI183" s="3" t="s">
        <v>132</v>
      </c>
      <c r="AJ183" s="3" t="s">
        <v>2503</v>
      </c>
      <c r="AK183" s="3" t="s">
        <v>69</v>
      </c>
      <c r="AL183" s="3" t="s">
        <v>69</v>
      </c>
      <c r="AM183" s="3" t="s">
        <v>2504</v>
      </c>
      <c r="AN183" s="3" t="s">
        <v>2505</v>
      </c>
      <c r="AO183" s="3" t="s">
        <v>69</v>
      </c>
      <c r="AP183" s="3" t="s">
        <v>2497</v>
      </c>
      <c r="AQ183" s="3" t="s">
        <v>2506</v>
      </c>
      <c r="AR183" s="3" t="s">
        <v>85</v>
      </c>
      <c r="AS183" s="3" t="s">
        <v>86</v>
      </c>
      <c r="AT183" s="3" t="s">
        <v>87</v>
      </c>
      <c r="AU183" s="3" t="s">
        <v>112</v>
      </c>
      <c r="AV183" s="3" t="s">
        <v>69</v>
      </c>
      <c r="AW183" s="3" t="s">
        <v>69</v>
      </c>
      <c r="AX183" s="3" t="s">
        <v>69</v>
      </c>
      <c r="AY183" s="3" t="s">
        <v>90</v>
      </c>
      <c r="AZ183" s="8" t="s">
        <v>69</v>
      </c>
      <c r="BA183" s="3" t="s">
        <v>69</v>
      </c>
      <c r="BB183" s="3" t="s">
        <v>92</v>
      </c>
      <c r="BC183" s="3" t="s">
        <v>93</v>
      </c>
      <c r="BD183" s="12" t="str">
        <f>HYPERLINK("http://bradford.de","bradford.de")</f>
        <v>bradford.de</v>
      </c>
      <c r="BE183" s="3" t="s">
        <v>69</v>
      </c>
      <c r="BF183" s="9">
        <v>50</v>
      </c>
      <c r="BG183" s="3" t="s">
        <v>2507</v>
      </c>
      <c r="BH183" s="3" t="s">
        <v>69</v>
      </c>
      <c r="BI183" s="3" t="s">
        <v>69</v>
      </c>
      <c r="BJ183" s="10">
        <v>1962</v>
      </c>
      <c r="BK183" s="3" t="s">
        <v>69</v>
      </c>
      <c r="BL183" s="1">
        <v>45704</v>
      </c>
      <c r="BM183" s="3" t="s">
        <v>69</v>
      </c>
      <c r="BN183" s="3" t="s">
        <v>69</v>
      </c>
      <c r="BO183" s="12" t="str">
        <f>HYPERLINK("https://my.pitchbook.com?c=750322-36","View Company Online")</f>
        <v>View Company Online</v>
      </c>
    </row>
    <row r="184" spans="1:67" x14ac:dyDescent="0.3">
      <c r="A184" s="13" t="s">
        <v>2508</v>
      </c>
      <c r="B184" s="13" t="s">
        <v>2509</v>
      </c>
      <c r="C184" s="13" t="s">
        <v>69</v>
      </c>
      <c r="D184" s="21" t="s">
        <v>69</v>
      </c>
      <c r="E184" s="13" t="s">
        <v>69</v>
      </c>
      <c r="F184" s="13" t="s">
        <v>69</v>
      </c>
      <c r="G184" s="13" t="s">
        <v>69</v>
      </c>
      <c r="H184" s="13" t="s">
        <v>69</v>
      </c>
      <c r="I184" s="19" t="s">
        <v>69</v>
      </c>
      <c r="J184" s="20" t="s">
        <v>69</v>
      </c>
      <c r="K184" s="19" t="s">
        <v>69</v>
      </c>
      <c r="L184" s="19" t="s">
        <v>69</v>
      </c>
      <c r="M184" s="19" t="s">
        <v>69</v>
      </c>
      <c r="N184" s="19" t="s">
        <v>69</v>
      </c>
      <c r="O184" s="19" t="s">
        <v>69</v>
      </c>
      <c r="P184" s="19" t="s">
        <v>69</v>
      </c>
      <c r="Q184" s="19" t="s">
        <v>69</v>
      </c>
      <c r="R184" s="18" t="s">
        <v>69</v>
      </c>
      <c r="S184" s="13" t="s">
        <v>69</v>
      </c>
      <c r="T184" s="13" t="s">
        <v>69</v>
      </c>
      <c r="U184" s="13" t="s">
        <v>69</v>
      </c>
      <c r="V184" s="13" t="s">
        <v>69</v>
      </c>
      <c r="W184" s="13" t="s">
        <v>69</v>
      </c>
      <c r="X184" s="13" t="s">
        <v>2510</v>
      </c>
      <c r="Y184" s="13" t="s">
        <v>2511</v>
      </c>
      <c r="Z184" s="13" t="s">
        <v>69</v>
      </c>
      <c r="AA184" s="13" t="s">
        <v>1067</v>
      </c>
      <c r="AB184" s="13" t="s">
        <v>2512</v>
      </c>
      <c r="AC184" s="18" t="s">
        <v>2513</v>
      </c>
      <c r="AD184" s="13" t="s">
        <v>378</v>
      </c>
      <c r="AE184" s="18" t="s">
        <v>2514</v>
      </c>
      <c r="AF184" s="18" t="s">
        <v>69</v>
      </c>
      <c r="AG184" s="13" t="s">
        <v>2515</v>
      </c>
      <c r="AH184" s="13" t="s">
        <v>379</v>
      </c>
      <c r="AI184" s="13" t="s">
        <v>380</v>
      </c>
      <c r="AJ184" s="13" t="s">
        <v>69</v>
      </c>
      <c r="AK184" s="13" t="s">
        <v>69</v>
      </c>
      <c r="AL184" s="13" t="s">
        <v>69</v>
      </c>
      <c r="AM184" s="13" t="s">
        <v>69</v>
      </c>
      <c r="AN184" s="13" t="s">
        <v>69</v>
      </c>
      <c r="AO184" s="13" t="s">
        <v>69</v>
      </c>
      <c r="AP184" s="13" t="s">
        <v>2508</v>
      </c>
      <c r="AQ184" s="13" t="s">
        <v>2516</v>
      </c>
      <c r="AR184" s="13" t="s">
        <v>185</v>
      </c>
      <c r="AS184" s="13" t="s">
        <v>348</v>
      </c>
      <c r="AT184" s="13" t="s">
        <v>481</v>
      </c>
      <c r="AU184" s="13" t="s">
        <v>821</v>
      </c>
      <c r="AV184" s="13" t="s">
        <v>69</v>
      </c>
      <c r="AW184" s="13" t="s">
        <v>2517</v>
      </c>
      <c r="AX184" s="13" t="s">
        <v>69</v>
      </c>
      <c r="AY184" s="13" t="s">
        <v>90</v>
      </c>
      <c r="AZ184" s="17" t="s">
        <v>69</v>
      </c>
      <c r="BA184" s="13" t="s">
        <v>69</v>
      </c>
      <c r="BB184" s="13" t="s">
        <v>92</v>
      </c>
      <c r="BC184" s="13" t="s">
        <v>93</v>
      </c>
      <c r="BD184" s="11" t="str">
        <f>HYPERLINK("http://counterterrorismgroup.com","counterterrorismgroup.com")</f>
        <v>counterterrorismgroup.com</v>
      </c>
      <c r="BE184" s="11" t="str">
        <f>HYPERLINK("http://www.linkedin.com/company/the-counterterrorism-group","http://www.linkedin.com/company/the-counterterrorism-group")</f>
        <v>http://www.linkedin.com/company/the-counterterrorism-group</v>
      </c>
      <c r="BF184" s="16">
        <v>84</v>
      </c>
      <c r="BG184" s="13" t="s">
        <v>2518</v>
      </c>
      <c r="BH184" s="13" t="s">
        <v>69</v>
      </c>
      <c r="BI184" s="13" t="s">
        <v>69</v>
      </c>
      <c r="BJ184" s="15">
        <v>2004</v>
      </c>
      <c r="BK184" s="13" t="s">
        <v>69</v>
      </c>
      <c r="BL184" s="14">
        <v>45315</v>
      </c>
      <c r="BM184" s="13" t="s">
        <v>69</v>
      </c>
      <c r="BN184" s="13" t="s">
        <v>69</v>
      </c>
      <c r="BO184" s="11" t="str">
        <f>HYPERLINK("https://my.pitchbook.com?c=558673-39","View Company Online")</f>
        <v>View Company Online</v>
      </c>
    </row>
    <row r="185" spans="1:67" x14ac:dyDescent="0.3">
      <c r="A185" s="3" t="s">
        <v>2519</v>
      </c>
      <c r="B185" s="3" t="s">
        <v>2520</v>
      </c>
      <c r="C185" s="3" t="s">
        <v>69</v>
      </c>
      <c r="D185" s="5" t="s">
        <v>69</v>
      </c>
      <c r="E185" s="3" t="s">
        <v>69</v>
      </c>
      <c r="F185" s="3" t="s">
        <v>69</v>
      </c>
      <c r="G185" s="3" t="s">
        <v>69</v>
      </c>
      <c r="H185" s="3" t="s">
        <v>69</v>
      </c>
      <c r="I185" s="4" t="s">
        <v>69</v>
      </c>
      <c r="J185" s="7" t="s">
        <v>69</v>
      </c>
      <c r="K185" s="4" t="s">
        <v>69</v>
      </c>
      <c r="L185" s="4" t="s">
        <v>69</v>
      </c>
      <c r="M185" s="4" t="s">
        <v>69</v>
      </c>
      <c r="N185" s="4" t="s">
        <v>69</v>
      </c>
      <c r="O185" s="4" t="s">
        <v>69</v>
      </c>
      <c r="P185" s="4" t="s">
        <v>69</v>
      </c>
      <c r="Q185" s="4" t="s">
        <v>69</v>
      </c>
      <c r="R185" s="6" t="s">
        <v>69</v>
      </c>
      <c r="S185" s="3" t="s">
        <v>2521</v>
      </c>
      <c r="T185" s="3" t="s">
        <v>2522</v>
      </c>
      <c r="U185" s="3" t="s">
        <v>828</v>
      </c>
      <c r="V185" s="3" t="s">
        <v>69</v>
      </c>
      <c r="W185" s="3" t="s">
        <v>2523</v>
      </c>
      <c r="X185" s="3" t="s">
        <v>1099</v>
      </c>
      <c r="Y185" s="3" t="s">
        <v>2524</v>
      </c>
      <c r="Z185" s="3" t="s">
        <v>69</v>
      </c>
      <c r="AA185" s="3" t="s">
        <v>1102</v>
      </c>
      <c r="AB185" s="3" t="s">
        <v>1102</v>
      </c>
      <c r="AC185" s="6" t="s">
        <v>2525</v>
      </c>
      <c r="AD185" s="3" t="s">
        <v>378</v>
      </c>
      <c r="AE185" s="6" t="s">
        <v>69</v>
      </c>
      <c r="AF185" s="6" t="s">
        <v>69</v>
      </c>
      <c r="AG185" s="3" t="s">
        <v>69</v>
      </c>
      <c r="AH185" s="3" t="s">
        <v>379</v>
      </c>
      <c r="AI185" s="3" t="s">
        <v>380</v>
      </c>
      <c r="AJ185" s="3" t="s">
        <v>69</v>
      </c>
      <c r="AK185" s="3" t="s">
        <v>2526</v>
      </c>
      <c r="AL185" s="3" t="s">
        <v>2527</v>
      </c>
      <c r="AM185" s="3" t="s">
        <v>69</v>
      </c>
      <c r="AN185" s="3" t="s">
        <v>69</v>
      </c>
      <c r="AO185" s="3" t="s">
        <v>69</v>
      </c>
      <c r="AP185" s="3" t="s">
        <v>2519</v>
      </c>
      <c r="AQ185" s="3" t="s">
        <v>2528</v>
      </c>
      <c r="AR185" s="3" t="s">
        <v>85</v>
      </c>
      <c r="AS185" s="3" t="s">
        <v>623</v>
      </c>
      <c r="AT185" s="3" t="s">
        <v>624</v>
      </c>
      <c r="AU185" s="3" t="s">
        <v>2529</v>
      </c>
      <c r="AV185" s="3" t="s">
        <v>69</v>
      </c>
      <c r="AW185" s="3" t="s">
        <v>2530</v>
      </c>
      <c r="AX185" s="3" t="s">
        <v>69</v>
      </c>
      <c r="AY185" s="3" t="s">
        <v>90</v>
      </c>
      <c r="AZ185" s="8" t="s">
        <v>69</v>
      </c>
      <c r="BA185" s="3" t="s">
        <v>91</v>
      </c>
      <c r="BB185" s="3" t="s">
        <v>92</v>
      </c>
      <c r="BC185" s="3" t="s">
        <v>93</v>
      </c>
      <c r="BD185" s="12" t="str">
        <f>HYPERLINK("http://www.criterion.com","www.criterion.com")</f>
        <v>www.criterion.com</v>
      </c>
      <c r="BE185" s="12" t="str">
        <f>HYPERLINK("http://www.linkedin.com/company/the-criterion-collection","http://www.linkedin.com/company/the-criterion-collection")</f>
        <v>http://www.linkedin.com/company/the-criterion-collection</v>
      </c>
      <c r="BF185" s="9">
        <v>97</v>
      </c>
      <c r="BG185" s="3" t="s">
        <v>2531</v>
      </c>
      <c r="BH185" s="3" t="s">
        <v>69</v>
      </c>
      <c r="BI185" s="3" t="s">
        <v>69</v>
      </c>
      <c r="BJ185" s="10">
        <v>1984</v>
      </c>
      <c r="BK185" s="3" t="s">
        <v>69</v>
      </c>
      <c r="BL185" s="1">
        <v>45600</v>
      </c>
      <c r="BM185" s="3" t="s">
        <v>69</v>
      </c>
      <c r="BN185" s="3" t="s">
        <v>69</v>
      </c>
      <c r="BO185" s="12" t="str">
        <f>HYPERLINK("https://my.pitchbook.com?c=443219-32","View Company Online")</f>
        <v>View Company Online</v>
      </c>
    </row>
    <row r="186" spans="1:67" x14ac:dyDescent="0.3">
      <c r="A186" s="13" t="s">
        <v>2532</v>
      </c>
      <c r="B186" s="13" t="s">
        <v>2533</v>
      </c>
      <c r="C186" s="13" t="s">
        <v>69</v>
      </c>
      <c r="D186" s="21" t="s">
        <v>69</v>
      </c>
      <c r="E186" s="13" t="s">
        <v>69</v>
      </c>
      <c r="F186" s="13" t="s">
        <v>69</v>
      </c>
      <c r="G186" s="13" t="s">
        <v>69</v>
      </c>
      <c r="H186" s="13" t="s">
        <v>69</v>
      </c>
      <c r="I186" s="19" t="s">
        <v>69</v>
      </c>
      <c r="J186" s="20" t="s">
        <v>69</v>
      </c>
      <c r="K186" s="19" t="s">
        <v>69</v>
      </c>
      <c r="L186" s="19" t="s">
        <v>69</v>
      </c>
      <c r="M186" s="19" t="s">
        <v>69</v>
      </c>
      <c r="N186" s="19" t="s">
        <v>69</v>
      </c>
      <c r="O186" s="19" t="s">
        <v>69</v>
      </c>
      <c r="P186" s="19" t="s">
        <v>69</v>
      </c>
      <c r="Q186" s="19" t="s">
        <v>69</v>
      </c>
      <c r="R186" s="18" t="s">
        <v>69</v>
      </c>
      <c r="S186" s="13" t="s">
        <v>69</v>
      </c>
      <c r="T186" s="13" t="s">
        <v>69</v>
      </c>
      <c r="U186" s="13" t="s">
        <v>69</v>
      </c>
      <c r="V186" s="13" t="s">
        <v>69</v>
      </c>
      <c r="W186" s="13" t="s">
        <v>69</v>
      </c>
      <c r="X186" s="13" t="s">
        <v>2534</v>
      </c>
      <c r="Y186" s="13" t="s">
        <v>2535</v>
      </c>
      <c r="Z186" s="13" t="s">
        <v>69</v>
      </c>
      <c r="AA186" s="13" t="s">
        <v>2536</v>
      </c>
      <c r="AB186" s="13" t="s">
        <v>1829</v>
      </c>
      <c r="AC186" s="18" t="s">
        <v>2537</v>
      </c>
      <c r="AD186" s="13" t="s">
        <v>378</v>
      </c>
      <c r="AE186" s="18" t="s">
        <v>2538</v>
      </c>
      <c r="AF186" s="18" t="s">
        <v>69</v>
      </c>
      <c r="AG186" s="13" t="s">
        <v>69</v>
      </c>
      <c r="AH186" s="13" t="s">
        <v>379</v>
      </c>
      <c r="AI186" s="13" t="s">
        <v>380</v>
      </c>
      <c r="AJ186" s="13" t="s">
        <v>69</v>
      </c>
      <c r="AK186" s="13" t="s">
        <v>69</v>
      </c>
      <c r="AL186" s="13" t="s">
        <v>69</v>
      </c>
      <c r="AM186" s="13" t="s">
        <v>69</v>
      </c>
      <c r="AN186" s="13" t="s">
        <v>69</v>
      </c>
      <c r="AO186" s="13" t="s">
        <v>69</v>
      </c>
      <c r="AP186" s="13" t="s">
        <v>2532</v>
      </c>
      <c r="AQ186" s="13" t="s">
        <v>2539</v>
      </c>
      <c r="AR186" s="13" t="s">
        <v>422</v>
      </c>
      <c r="AS186" s="13" t="s">
        <v>423</v>
      </c>
      <c r="AT186" s="13" t="s">
        <v>1181</v>
      </c>
      <c r="AU186" s="13" t="s">
        <v>1182</v>
      </c>
      <c r="AV186" s="13" t="s">
        <v>626</v>
      </c>
      <c r="AW186" s="13" t="s">
        <v>2540</v>
      </c>
      <c r="AX186" s="13" t="s">
        <v>69</v>
      </c>
      <c r="AY186" s="13" t="s">
        <v>90</v>
      </c>
      <c r="AZ186" s="17" t="s">
        <v>69</v>
      </c>
      <c r="BA186" s="13" t="s">
        <v>69</v>
      </c>
      <c r="BB186" s="13" t="s">
        <v>92</v>
      </c>
      <c r="BC186" s="13" t="s">
        <v>93</v>
      </c>
      <c r="BD186" s="11" t="str">
        <f>HYPERLINK("http://thekellycompanies.com","thekellycompanies.com")</f>
        <v>thekellycompanies.com</v>
      </c>
      <c r="BE186" s="11" t="str">
        <f>HYPERLINK("http://www.linkedin.com/company/the-kelly-companies","http://www.linkedin.com/company/the-kelly-companies")</f>
        <v>http://www.linkedin.com/company/the-kelly-companies</v>
      </c>
      <c r="BF186" s="16">
        <v>51</v>
      </c>
      <c r="BG186" s="13" t="s">
        <v>2541</v>
      </c>
      <c r="BH186" s="13" t="s">
        <v>69</v>
      </c>
      <c r="BI186" s="13" t="s">
        <v>69</v>
      </c>
      <c r="BJ186" s="15">
        <v>1972</v>
      </c>
      <c r="BK186" s="13" t="s">
        <v>69</v>
      </c>
      <c r="BL186" s="14">
        <v>45633</v>
      </c>
      <c r="BM186" s="13" t="s">
        <v>69</v>
      </c>
      <c r="BN186" s="13" t="s">
        <v>69</v>
      </c>
      <c r="BO186" s="11" t="str">
        <f>HYPERLINK("https://my.pitchbook.com?c=129856-15","View Company Online")</f>
        <v>View Company Online</v>
      </c>
    </row>
    <row r="187" spans="1:67" x14ac:dyDescent="0.3">
      <c r="A187" s="3" t="s">
        <v>2542</v>
      </c>
      <c r="B187" s="3" t="s">
        <v>2543</v>
      </c>
      <c r="C187" s="3" t="s">
        <v>69</v>
      </c>
      <c r="D187" s="5" t="s">
        <v>69</v>
      </c>
      <c r="E187" s="3" t="s">
        <v>69</v>
      </c>
      <c r="F187" s="3" t="s">
        <v>69</v>
      </c>
      <c r="G187" s="3" t="s">
        <v>69</v>
      </c>
      <c r="H187" s="3" t="s">
        <v>69</v>
      </c>
      <c r="I187" s="4" t="s">
        <v>69</v>
      </c>
      <c r="J187" s="7" t="s">
        <v>69</v>
      </c>
      <c r="K187" s="4" t="s">
        <v>69</v>
      </c>
      <c r="L187" s="4" t="s">
        <v>69</v>
      </c>
      <c r="M187" s="4" t="s">
        <v>69</v>
      </c>
      <c r="N187" s="4" t="s">
        <v>69</v>
      </c>
      <c r="O187" s="4" t="s">
        <v>69</v>
      </c>
      <c r="P187" s="4" t="s">
        <v>69</v>
      </c>
      <c r="Q187" s="4" t="s">
        <v>69</v>
      </c>
      <c r="R187" s="6" t="s">
        <v>69</v>
      </c>
      <c r="S187" s="3" t="s">
        <v>69</v>
      </c>
      <c r="T187" s="3" t="s">
        <v>69</v>
      </c>
      <c r="U187" s="3" t="s">
        <v>69</v>
      </c>
      <c r="V187" s="3" t="s">
        <v>69</v>
      </c>
      <c r="W187" s="3" t="s">
        <v>69</v>
      </c>
      <c r="X187" s="3" t="s">
        <v>1943</v>
      </c>
      <c r="Y187" s="3" t="s">
        <v>2544</v>
      </c>
      <c r="Z187" s="3" t="s">
        <v>69</v>
      </c>
      <c r="AA187" s="3" t="s">
        <v>1944</v>
      </c>
      <c r="AB187" s="3" t="s">
        <v>69</v>
      </c>
      <c r="AC187" s="6" t="s">
        <v>69</v>
      </c>
      <c r="AD187" s="3" t="s">
        <v>1945</v>
      </c>
      <c r="AE187" s="6" t="s">
        <v>69</v>
      </c>
      <c r="AF187" s="6" t="s">
        <v>69</v>
      </c>
      <c r="AG187" s="3" t="s">
        <v>69</v>
      </c>
      <c r="AH187" s="3" t="s">
        <v>912</v>
      </c>
      <c r="AI187" s="3" t="s">
        <v>912</v>
      </c>
      <c r="AJ187" s="3" t="s">
        <v>69</v>
      </c>
      <c r="AK187" s="3" t="s">
        <v>69</v>
      </c>
      <c r="AL187" s="3" t="s">
        <v>69</v>
      </c>
      <c r="AM187" s="3" t="s">
        <v>69</v>
      </c>
      <c r="AN187" s="3" t="s">
        <v>69</v>
      </c>
      <c r="AO187" s="3" t="s">
        <v>69</v>
      </c>
      <c r="AP187" s="3" t="s">
        <v>2542</v>
      </c>
      <c r="AQ187" s="3" t="s">
        <v>2545</v>
      </c>
      <c r="AR187" s="3" t="s">
        <v>185</v>
      </c>
      <c r="AS187" s="3" t="s">
        <v>186</v>
      </c>
      <c r="AT187" s="3" t="s">
        <v>187</v>
      </c>
      <c r="AU187" s="3" t="s">
        <v>945</v>
      </c>
      <c r="AV187" s="3" t="s">
        <v>69</v>
      </c>
      <c r="AW187" s="3" t="s">
        <v>69</v>
      </c>
      <c r="AX187" s="3" t="s">
        <v>69</v>
      </c>
      <c r="AY187" s="3" t="s">
        <v>90</v>
      </c>
      <c r="AZ187" s="8" t="s">
        <v>69</v>
      </c>
      <c r="BA187" s="3" t="s">
        <v>69</v>
      </c>
      <c r="BB187" s="3" t="s">
        <v>92</v>
      </c>
      <c r="BC187" s="3" t="s">
        <v>93</v>
      </c>
      <c r="BD187" s="12" t="str">
        <f>HYPERLINK("http://timehouse.store","timehouse.store")</f>
        <v>timehouse.store</v>
      </c>
      <c r="BE187" s="12" t="str">
        <f>HYPERLINK("http://www.linkedin.com/company/timehousecompany","http://www.linkedin.com/company/timehousecompany")</f>
        <v>http://www.linkedin.com/company/timehousecompany</v>
      </c>
      <c r="BF187" s="9">
        <v>157</v>
      </c>
      <c r="BG187" s="3" t="s">
        <v>2546</v>
      </c>
      <c r="BH187" s="3" t="s">
        <v>69</v>
      </c>
      <c r="BI187" s="3" t="s">
        <v>69</v>
      </c>
      <c r="BJ187" s="10">
        <v>2011</v>
      </c>
      <c r="BK187" s="3" t="s">
        <v>69</v>
      </c>
      <c r="BL187" s="1">
        <v>45366</v>
      </c>
      <c r="BM187" s="3" t="s">
        <v>69</v>
      </c>
      <c r="BN187" s="3" t="s">
        <v>69</v>
      </c>
      <c r="BO187" s="12" t="str">
        <f>HYPERLINK("https://my.pitchbook.com?c=545305-33","View Company Online")</f>
        <v>View Company Online</v>
      </c>
    </row>
    <row r="188" spans="1:67" x14ac:dyDescent="0.3">
      <c r="A188" s="13" t="s">
        <v>2547</v>
      </c>
      <c r="B188" s="13" t="s">
        <v>2548</v>
      </c>
      <c r="C188" s="13" t="s">
        <v>69</v>
      </c>
      <c r="D188" s="21" t="s">
        <v>69</v>
      </c>
      <c r="E188" s="13" t="s">
        <v>69</v>
      </c>
      <c r="F188" s="13" t="s">
        <v>69</v>
      </c>
      <c r="G188" s="13" t="s">
        <v>69</v>
      </c>
      <c r="H188" s="13" t="s">
        <v>69</v>
      </c>
      <c r="I188" s="19" t="s">
        <v>69</v>
      </c>
      <c r="J188" s="20" t="s">
        <v>69</v>
      </c>
      <c r="K188" s="19" t="s">
        <v>69</v>
      </c>
      <c r="L188" s="19" t="s">
        <v>69</v>
      </c>
      <c r="M188" s="19" t="s">
        <v>69</v>
      </c>
      <c r="N188" s="19" t="s">
        <v>69</v>
      </c>
      <c r="O188" s="19" t="s">
        <v>69</v>
      </c>
      <c r="P188" s="19" t="s">
        <v>69</v>
      </c>
      <c r="Q188" s="19" t="s">
        <v>69</v>
      </c>
      <c r="R188" s="18" t="s">
        <v>69</v>
      </c>
      <c r="S188" s="13" t="s">
        <v>69</v>
      </c>
      <c r="T188" s="13" t="s">
        <v>69</v>
      </c>
      <c r="U188" s="13" t="s">
        <v>69</v>
      </c>
      <c r="V188" s="13" t="s">
        <v>69</v>
      </c>
      <c r="W188" s="13" t="s">
        <v>69</v>
      </c>
      <c r="X188" s="13" t="s">
        <v>1860</v>
      </c>
      <c r="Y188" s="13" t="s">
        <v>2549</v>
      </c>
      <c r="Z188" s="13" t="s">
        <v>2550</v>
      </c>
      <c r="AA188" s="13" t="s">
        <v>1863</v>
      </c>
      <c r="AB188" s="13" t="s">
        <v>69</v>
      </c>
      <c r="AC188" s="18" t="s">
        <v>69</v>
      </c>
      <c r="AD188" s="13" t="s">
        <v>1864</v>
      </c>
      <c r="AE188" s="18" t="s">
        <v>2551</v>
      </c>
      <c r="AF188" s="18" t="s">
        <v>2552</v>
      </c>
      <c r="AG188" s="13" t="s">
        <v>69</v>
      </c>
      <c r="AH188" s="13" t="s">
        <v>446</v>
      </c>
      <c r="AI188" s="13" t="s">
        <v>447</v>
      </c>
      <c r="AJ188" s="13" t="s">
        <v>69</v>
      </c>
      <c r="AK188" s="13" t="s">
        <v>69</v>
      </c>
      <c r="AL188" s="13" t="s">
        <v>2553</v>
      </c>
      <c r="AM188" s="13" t="s">
        <v>69</v>
      </c>
      <c r="AN188" s="13" t="s">
        <v>69</v>
      </c>
      <c r="AO188" s="13" t="s">
        <v>69</v>
      </c>
      <c r="AP188" s="13" t="s">
        <v>2547</v>
      </c>
      <c r="AQ188" s="13" t="s">
        <v>2554</v>
      </c>
      <c r="AR188" s="13" t="s">
        <v>85</v>
      </c>
      <c r="AS188" s="13" t="s">
        <v>271</v>
      </c>
      <c r="AT188" s="13" t="s">
        <v>272</v>
      </c>
      <c r="AU188" s="13" t="s">
        <v>1537</v>
      </c>
      <c r="AV188" s="13" t="s">
        <v>2555</v>
      </c>
      <c r="AW188" s="13" t="s">
        <v>2556</v>
      </c>
      <c r="AX188" s="13" t="s">
        <v>69</v>
      </c>
      <c r="AY188" s="13" t="s">
        <v>90</v>
      </c>
      <c r="AZ188" s="17" t="s">
        <v>69</v>
      </c>
      <c r="BA188" s="13" t="s">
        <v>91</v>
      </c>
      <c r="BB188" s="13" t="s">
        <v>92</v>
      </c>
      <c r="BC188" s="13" t="s">
        <v>93</v>
      </c>
      <c r="BD188" s="11" t="str">
        <f>HYPERLINK("http://www.sztomstar.com","www.sztomstar.com")</f>
        <v>www.sztomstar.com</v>
      </c>
      <c r="BE188" s="11" t="str">
        <f>HYPERLINK("http://www.linkedin.com/company/shenzhen-tomstar-technology-limited","http://www.linkedin.com/company/shenzhen-tomstar-technology-limited")</f>
        <v>http://www.linkedin.com/company/shenzhen-tomstar-technology-limited</v>
      </c>
      <c r="BF188" s="16">
        <v>300</v>
      </c>
      <c r="BG188" s="13" t="s">
        <v>2557</v>
      </c>
      <c r="BH188" s="13" t="s">
        <v>69</v>
      </c>
      <c r="BI188" s="13" t="s">
        <v>69</v>
      </c>
      <c r="BJ188" s="15">
        <v>2008</v>
      </c>
      <c r="BK188" s="13" t="s">
        <v>69</v>
      </c>
      <c r="BL188" s="14">
        <v>44931</v>
      </c>
      <c r="BM188" s="13" t="s">
        <v>69</v>
      </c>
      <c r="BN188" s="13" t="s">
        <v>69</v>
      </c>
      <c r="BO188" s="11" t="str">
        <f>HYPERLINK("https://my.pitchbook.com?c=517602-61","View Company Online")</f>
        <v>View Company Online</v>
      </c>
    </row>
    <row r="189" spans="1:67" x14ac:dyDescent="0.3">
      <c r="A189" s="3" t="s">
        <v>2558</v>
      </c>
      <c r="B189" s="3" t="s">
        <v>2559</v>
      </c>
      <c r="C189" s="3" t="s">
        <v>69</v>
      </c>
      <c r="D189" s="5" t="s">
        <v>69</v>
      </c>
      <c r="E189" s="3" t="s">
        <v>69</v>
      </c>
      <c r="F189" s="3" t="s">
        <v>69</v>
      </c>
      <c r="G189" s="3" t="s">
        <v>69</v>
      </c>
      <c r="H189" s="3" t="s">
        <v>69</v>
      </c>
      <c r="I189" s="4" t="s">
        <v>69</v>
      </c>
      <c r="J189" s="7" t="s">
        <v>69</v>
      </c>
      <c r="K189" s="4" t="s">
        <v>69</v>
      </c>
      <c r="L189" s="4" t="s">
        <v>69</v>
      </c>
      <c r="M189" s="4" t="s">
        <v>69</v>
      </c>
      <c r="N189" s="4" t="s">
        <v>69</v>
      </c>
      <c r="O189" s="4">
        <v>18.079999999999998</v>
      </c>
      <c r="P189" s="4" t="s">
        <v>69</v>
      </c>
      <c r="Q189" s="4" t="s">
        <v>69</v>
      </c>
      <c r="R189" s="6" t="s">
        <v>118</v>
      </c>
      <c r="S189" s="3" t="s">
        <v>2560</v>
      </c>
      <c r="T189" s="3" t="s">
        <v>2561</v>
      </c>
      <c r="U189" s="3" t="s">
        <v>2562</v>
      </c>
      <c r="V189" s="3" t="s">
        <v>69</v>
      </c>
      <c r="W189" s="3" t="s">
        <v>2563</v>
      </c>
      <c r="X189" s="3" t="s">
        <v>2564</v>
      </c>
      <c r="Y189" s="3" t="s">
        <v>2565</v>
      </c>
      <c r="Z189" s="3" t="s">
        <v>69</v>
      </c>
      <c r="AA189" s="3" t="s">
        <v>2566</v>
      </c>
      <c r="AB189" s="3" t="s">
        <v>69</v>
      </c>
      <c r="AC189" s="6" t="s">
        <v>2567</v>
      </c>
      <c r="AD189" s="3" t="s">
        <v>2568</v>
      </c>
      <c r="AE189" s="6" t="s">
        <v>2563</v>
      </c>
      <c r="AF189" s="6" t="s">
        <v>69</v>
      </c>
      <c r="AG189" s="3" t="s">
        <v>2569</v>
      </c>
      <c r="AH189" s="3" t="s">
        <v>78</v>
      </c>
      <c r="AI189" s="3" t="s">
        <v>79</v>
      </c>
      <c r="AJ189" s="3" t="s">
        <v>69</v>
      </c>
      <c r="AK189" s="3" t="s">
        <v>69</v>
      </c>
      <c r="AL189" s="3" t="s">
        <v>2570</v>
      </c>
      <c r="AM189" s="3" t="s">
        <v>2571</v>
      </c>
      <c r="AN189" s="3" t="s">
        <v>2572</v>
      </c>
      <c r="AO189" s="3" t="s">
        <v>69</v>
      </c>
      <c r="AP189" s="3" t="s">
        <v>2558</v>
      </c>
      <c r="AQ189" s="3" t="s">
        <v>2573</v>
      </c>
      <c r="AR189" s="3" t="s">
        <v>85</v>
      </c>
      <c r="AS189" s="3" t="s">
        <v>211</v>
      </c>
      <c r="AT189" s="3" t="s">
        <v>212</v>
      </c>
      <c r="AU189" s="3" t="s">
        <v>213</v>
      </c>
      <c r="AV189" s="3" t="s">
        <v>113</v>
      </c>
      <c r="AW189" s="3" t="s">
        <v>2574</v>
      </c>
      <c r="AX189" s="3" t="s">
        <v>69</v>
      </c>
      <c r="AY189" s="3" t="s">
        <v>90</v>
      </c>
      <c r="AZ189" s="8" t="s">
        <v>69</v>
      </c>
      <c r="BA189" s="3" t="s">
        <v>91</v>
      </c>
      <c r="BB189" s="3" t="s">
        <v>92</v>
      </c>
      <c r="BC189" s="3" t="s">
        <v>93</v>
      </c>
      <c r="BD189" s="12" t="str">
        <f>HYPERLINK("http://www.torres.pt","www.torres.pt")</f>
        <v>www.torres.pt</v>
      </c>
      <c r="BE189" s="12" t="str">
        <f>HYPERLINK("http://www.linkedin.com/company/torres-joalheiros","http://www.linkedin.com/company/torres-joalheiros")</f>
        <v>http://www.linkedin.com/company/torres-joalheiros</v>
      </c>
      <c r="BF189" s="9">
        <v>100</v>
      </c>
      <c r="BG189" s="3" t="s">
        <v>2575</v>
      </c>
      <c r="BH189" s="3" t="s">
        <v>69</v>
      </c>
      <c r="BI189" s="3" t="s">
        <v>69</v>
      </c>
      <c r="BJ189" s="10">
        <v>1910</v>
      </c>
      <c r="BK189" s="3" t="s">
        <v>69</v>
      </c>
      <c r="BL189" s="1">
        <v>45689</v>
      </c>
      <c r="BM189" s="3" t="s">
        <v>69</v>
      </c>
      <c r="BN189" s="3" t="s">
        <v>69</v>
      </c>
      <c r="BO189" s="12" t="str">
        <f>HYPERLINK("https://my.pitchbook.com?c=471387-97","View Company Online")</f>
        <v>View Company Online</v>
      </c>
    </row>
    <row r="190" spans="1:67" x14ac:dyDescent="0.3">
      <c r="A190" s="13" t="s">
        <v>2576</v>
      </c>
      <c r="B190" s="13" t="s">
        <v>2577</v>
      </c>
      <c r="C190" s="13" t="s">
        <v>69</v>
      </c>
      <c r="D190" s="21" t="s">
        <v>69</v>
      </c>
      <c r="E190" s="13" t="s">
        <v>69</v>
      </c>
      <c r="F190" s="13" t="s">
        <v>69</v>
      </c>
      <c r="G190" s="13" t="s">
        <v>69</v>
      </c>
      <c r="H190" s="13" t="s">
        <v>69</v>
      </c>
      <c r="I190" s="19" t="s">
        <v>69</v>
      </c>
      <c r="J190" s="20" t="s">
        <v>69</v>
      </c>
      <c r="K190" s="19" t="s">
        <v>69</v>
      </c>
      <c r="L190" s="19" t="s">
        <v>69</v>
      </c>
      <c r="M190" s="19" t="s">
        <v>69</v>
      </c>
      <c r="N190" s="19" t="s">
        <v>69</v>
      </c>
      <c r="O190" s="19" t="s">
        <v>69</v>
      </c>
      <c r="P190" s="19" t="s">
        <v>69</v>
      </c>
      <c r="Q190" s="19" t="s">
        <v>69</v>
      </c>
      <c r="R190" s="18" t="s">
        <v>69</v>
      </c>
      <c r="S190" s="13" t="s">
        <v>69</v>
      </c>
      <c r="T190" s="13" t="s">
        <v>69</v>
      </c>
      <c r="U190" s="13" t="s">
        <v>69</v>
      </c>
      <c r="V190" s="13" t="s">
        <v>69</v>
      </c>
      <c r="W190" s="13" t="s">
        <v>69</v>
      </c>
      <c r="X190" s="13" t="s">
        <v>2194</v>
      </c>
      <c r="Y190" s="13" t="s">
        <v>2578</v>
      </c>
      <c r="Z190" s="13" t="s">
        <v>69</v>
      </c>
      <c r="AA190" s="13" t="s">
        <v>2197</v>
      </c>
      <c r="AB190" s="13" t="s">
        <v>69</v>
      </c>
      <c r="AC190" s="18" t="s">
        <v>2198</v>
      </c>
      <c r="AD190" s="13" t="s">
        <v>497</v>
      </c>
      <c r="AE190" s="18" t="s">
        <v>2579</v>
      </c>
      <c r="AF190" s="18" t="s">
        <v>2580</v>
      </c>
      <c r="AG190" s="13" t="s">
        <v>2581</v>
      </c>
      <c r="AH190" s="13" t="s">
        <v>78</v>
      </c>
      <c r="AI190" s="13" t="s">
        <v>132</v>
      </c>
      <c r="AJ190" s="13" t="s">
        <v>69</v>
      </c>
      <c r="AK190" s="13" t="s">
        <v>69</v>
      </c>
      <c r="AL190" s="13" t="s">
        <v>2582</v>
      </c>
      <c r="AM190" s="13" t="s">
        <v>69</v>
      </c>
      <c r="AN190" s="13" t="s">
        <v>69</v>
      </c>
      <c r="AO190" s="13" t="s">
        <v>69</v>
      </c>
      <c r="AP190" s="13" t="s">
        <v>2576</v>
      </c>
      <c r="AQ190" s="13" t="s">
        <v>2583</v>
      </c>
      <c r="AR190" s="13" t="s">
        <v>85</v>
      </c>
      <c r="AS190" s="13" t="s">
        <v>211</v>
      </c>
      <c r="AT190" s="13" t="s">
        <v>212</v>
      </c>
      <c r="AU190" s="13" t="s">
        <v>213</v>
      </c>
      <c r="AV190" s="13" t="s">
        <v>214</v>
      </c>
      <c r="AW190" s="13" t="s">
        <v>2584</v>
      </c>
      <c r="AX190" s="13" t="s">
        <v>69</v>
      </c>
      <c r="AY190" s="13" t="s">
        <v>90</v>
      </c>
      <c r="AZ190" s="17" t="s">
        <v>69</v>
      </c>
      <c r="BA190" s="13" t="s">
        <v>91</v>
      </c>
      <c r="BB190" s="13" t="s">
        <v>92</v>
      </c>
      <c r="BC190" s="13" t="s">
        <v>93</v>
      </c>
      <c r="BD190" s="11" t="str">
        <f>HYPERLINK("http://www.tudorwatch.com","www.tudorwatch.com")</f>
        <v>www.tudorwatch.com</v>
      </c>
      <c r="BE190" s="11" t="str">
        <f>HYPERLINK("http://www.linkedin.com/company/tudor-watch","http://www.linkedin.com/company/tudor-watch")</f>
        <v>http://www.linkedin.com/company/tudor-watch</v>
      </c>
      <c r="BF190" s="16">
        <v>73</v>
      </c>
      <c r="BG190" s="13" t="s">
        <v>2585</v>
      </c>
      <c r="BH190" s="13" t="s">
        <v>69</v>
      </c>
      <c r="BI190" s="13" t="s">
        <v>69</v>
      </c>
      <c r="BJ190" s="15">
        <v>1926</v>
      </c>
      <c r="BK190" s="13" t="s">
        <v>69</v>
      </c>
      <c r="BL190" s="14">
        <v>44326</v>
      </c>
      <c r="BM190" s="13" t="s">
        <v>69</v>
      </c>
      <c r="BN190" s="13" t="s">
        <v>69</v>
      </c>
      <c r="BO190" s="11" t="str">
        <f>HYPERLINK("https://my.pitchbook.com?c=465978-16","View Company Online")</f>
        <v>View Company Online</v>
      </c>
    </row>
    <row r="191" spans="1:67" x14ac:dyDescent="0.3">
      <c r="A191" s="3" t="s">
        <v>2586</v>
      </c>
      <c r="B191" s="3" t="s">
        <v>2587</v>
      </c>
      <c r="C191" s="3" t="s">
        <v>69</v>
      </c>
      <c r="D191" s="5" t="s">
        <v>69</v>
      </c>
      <c r="E191" s="3" t="s">
        <v>69</v>
      </c>
      <c r="F191" s="3" t="s">
        <v>69</v>
      </c>
      <c r="G191" s="3" t="s">
        <v>69</v>
      </c>
      <c r="H191" s="3" t="s">
        <v>69</v>
      </c>
      <c r="I191" s="4" t="s">
        <v>69</v>
      </c>
      <c r="J191" s="7" t="s">
        <v>69</v>
      </c>
      <c r="K191" s="4" t="s">
        <v>69</v>
      </c>
      <c r="L191" s="4" t="s">
        <v>69</v>
      </c>
      <c r="M191" s="4" t="s">
        <v>69</v>
      </c>
      <c r="N191" s="4" t="s">
        <v>69</v>
      </c>
      <c r="O191" s="4" t="s">
        <v>69</v>
      </c>
      <c r="P191" s="4" t="s">
        <v>69</v>
      </c>
      <c r="Q191" s="4" t="s">
        <v>69</v>
      </c>
      <c r="R191" s="6" t="s">
        <v>69</v>
      </c>
      <c r="S191" s="3" t="s">
        <v>69</v>
      </c>
      <c r="T191" s="3" t="s">
        <v>69</v>
      </c>
      <c r="U191" s="3" t="s">
        <v>69</v>
      </c>
      <c r="V191" s="3" t="s">
        <v>69</v>
      </c>
      <c r="W191" s="3" t="s">
        <v>69</v>
      </c>
      <c r="X191" s="3" t="s">
        <v>1028</v>
      </c>
      <c r="Y191" s="3" t="s">
        <v>2588</v>
      </c>
      <c r="Z191" s="3" t="s">
        <v>69</v>
      </c>
      <c r="AA191" s="3" t="s">
        <v>1031</v>
      </c>
      <c r="AB191" s="3" t="s">
        <v>1032</v>
      </c>
      <c r="AC191" s="6" t="s">
        <v>2589</v>
      </c>
      <c r="AD191" s="3" t="s">
        <v>1034</v>
      </c>
      <c r="AE191" s="6" t="s">
        <v>69</v>
      </c>
      <c r="AF191" s="6" t="s">
        <v>69</v>
      </c>
      <c r="AG191" s="3" t="s">
        <v>69</v>
      </c>
      <c r="AH191" s="3" t="s">
        <v>379</v>
      </c>
      <c r="AI191" s="3" t="s">
        <v>380</v>
      </c>
      <c r="AJ191" s="3" t="s">
        <v>69</v>
      </c>
      <c r="AK191" s="3" t="s">
        <v>69</v>
      </c>
      <c r="AL191" s="3" t="s">
        <v>69</v>
      </c>
      <c r="AM191" s="3" t="s">
        <v>69</v>
      </c>
      <c r="AN191" s="3" t="s">
        <v>69</v>
      </c>
      <c r="AO191" s="3" t="s">
        <v>69</v>
      </c>
      <c r="AP191" s="3" t="s">
        <v>2586</v>
      </c>
      <c r="AQ191" s="3" t="s">
        <v>2590</v>
      </c>
      <c r="AR191" s="3" t="s">
        <v>422</v>
      </c>
      <c r="AS191" s="3" t="s">
        <v>423</v>
      </c>
      <c r="AT191" s="3" t="s">
        <v>1792</v>
      </c>
      <c r="AU191" s="3" t="s">
        <v>1793</v>
      </c>
      <c r="AV191" s="3" t="s">
        <v>69</v>
      </c>
      <c r="AW191" s="3" t="s">
        <v>2591</v>
      </c>
      <c r="AX191" s="3" t="s">
        <v>69</v>
      </c>
      <c r="AY191" s="3" t="s">
        <v>90</v>
      </c>
      <c r="AZ191" s="8" t="s">
        <v>69</v>
      </c>
      <c r="BA191" s="3" t="s">
        <v>69</v>
      </c>
      <c r="BB191" s="3" t="s">
        <v>92</v>
      </c>
      <c r="BC191" s="3" t="s">
        <v>93</v>
      </c>
      <c r="BD191" s="12" t="str">
        <f>HYPERLINK("http://toronto.ubisoft.com","toronto.ubisoft.com")</f>
        <v>toronto.ubisoft.com</v>
      </c>
      <c r="BE191" s="12" t="str">
        <f>HYPERLINK("http://www.linkedin.com/company/ubisoft-toronto","http://www.linkedin.com/company/ubisoft-toronto")</f>
        <v>http://www.linkedin.com/company/ubisoft-toronto</v>
      </c>
      <c r="BF191" s="9">
        <v>505</v>
      </c>
      <c r="BG191" s="3" t="s">
        <v>2592</v>
      </c>
      <c r="BH191" s="3" t="s">
        <v>69</v>
      </c>
      <c r="BI191" s="3" t="s">
        <v>69</v>
      </c>
      <c r="BJ191" s="10">
        <v>2010</v>
      </c>
      <c r="BK191" s="3" t="s">
        <v>69</v>
      </c>
      <c r="BL191" s="1">
        <v>45540</v>
      </c>
      <c r="BM191" s="3" t="s">
        <v>69</v>
      </c>
      <c r="BN191" s="3" t="s">
        <v>69</v>
      </c>
      <c r="BO191" s="12" t="str">
        <f>HYPERLINK("https://my.pitchbook.com?c=643446-64","View Company Online")</f>
        <v>View Company Online</v>
      </c>
    </row>
    <row r="192" spans="1:67" x14ac:dyDescent="0.3">
      <c r="A192" s="13" t="s">
        <v>2593</v>
      </c>
      <c r="B192" s="13" t="s">
        <v>2594</v>
      </c>
      <c r="C192" s="13" t="s">
        <v>69</v>
      </c>
      <c r="D192" s="21" t="s">
        <v>69</v>
      </c>
      <c r="E192" s="13" t="s">
        <v>69</v>
      </c>
      <c r="F192" s="13" t="s">
        <v>69</v>
      </c>
      <c r="G192" s="13" t="s">
        <v>69</v>
      </c>
      <c r="H192" s="13" t="s">
        <v>69</v>
      </c>
      <c r="I192" s="19" t="s">
        <v>69</v>
      </c>
      <c r="J192" s="20" t="s">
        <v>69</v>
      </c>
      <c r="K192" s="19" t="s">
        <v>69</v>
      </c>
      <c r="L192" s="19" t="s">
        <v>69</v>
      </c>
      <c r="M192" s="19" t="s">
        <v>69</v>
      </c>
      <c r="N192" s="19" t="s">
        <v>69</v>
      </c>
      <c r="O192" s="19" t="s">
        <v>69</v>
      </c>
      <c r="P192" s="19" t="s">
        <v>69</v>
      </c>
      <c r="Q192" s="19" t="s">
        <v>69</v>
      </c>
      <c r="R192" s="18" t="s">
        <v>69</v>
      </c>
      <c r="S192" s="13" t="s">
        <v>69</v>
      </c>
      <c r="T192" s="13" t="s">
        <v>69</v>
      </c>
      <c r="U192" s="13" t="s">
        <v>69</v>
      </c>
      <c r="V192" s="13" t="s">
        <v>69</v>
      </c>
      <c r="W192" s="13" t="s">
        <v>69</v>
      </c>
      <c r="X192" s="13" t="s">
        <v>2595</v>
      </c>
      <c r="Y192" s="13" t="s">
        <v>2596</v>
      </c>
      <c r="Z192" s="13" t="s">
        <v>69</v>
      </c>
      <c r="AA192" s="13" t="s">
        <v>2597</v>
      </c>
      <c r="AB192" s="13" t="s">
        <v>2598</v>
      </c>
      <c r="AC192" s="18" t="s">
        <v>2599</v>
      </c>
      <c r="AD192" s="13" t="s">
        <v>497</v>
      </c>
      <c r="AE192" s="18" t="s">
        <v>69</v>
      </c>
      <c r="AF192" s="18" t="s">
        <v>69</v>
      </c>
      <c r="AG192" s="13" t="s">
        <v>69</v>
      </c>
      <c r="AH192" s="13" t="s">
        <v>78</v>
      </c>
      <c r="AI192" s="13" t="s">
        <v>132</v>
      </c>
      <c r="AJ192" s="13" t="s">
        <v>69</v>
      </c>
      <c r="AK192" s="13" t="s">
        <v>69</v>
      </c>
      <c r="AL192" s="13" t="s">
        <v>69</v>
      </c>
      <c r="AM192" s="13" t="s">
        <v>69</v>
      </c>
      <c r="AN192" s="13" t="s">
        <v>69</v>
      </c>
      <c r="AO192" s="13" t="s">
        <v>69</v>
      </c>
      <c r="AP192" s="13" t="s">
        <v>2593</v>
      </c>
      <c r="AQ192" s="13" t="s">
        <v>2600</v>
      </c>
      <c r="AR192" s="13" t="s">
        <v>185</v>
      </c>
      <c r="AS192" s="13" t="s">
        <v>348</v>
      </c>
      <c r="AT192" s="13" t="s">
        <v>698</v>
      </c>
      <c r="AU192" s="13" t="s">
        <v>699</v>
      </c>
      <c r="AV192" s="13" t="s">
        <v>69</v>
      </c>
      <c r="AW192" s="13" t="s">
        <v>69</v>
      </c>
      <c r="AX192" s="13" t="s">
        <v>69</v>
      </c>
      <c r="AY192" s="13" t="s">
        <v>90</v>
      </c>
      <c r="AZ192" s="17" t="s">
        <v>69</v>
      </c>
      <c r="BA192" s="13" t="s">
        <v>69</v>
      </c>
      <c r="BB192" s="13" t="s">
        <v>92</v>
      </c>
      <c r="BC192" s="13" t="s">
        <v>93</v>
      </c>
      <c r="BD192" s="11" t="str">
        <f>HYPERLINK("http://utilis.com","utilis.com")</f>
        <v>utilis.com</v>
      </c>
      <c r="BE192" s="11" t="str">
        <f>HYPERLINK("http://www.linkedin.com/company/utilis-ag","http://www.linkedin.com/company/utilis-ag")</f>
        <v>http://www.linkedin.com/company/utilis-ag</v>
      </c>
      <c r="BF192" s="16">
        <v>67</v>
      </c>
      <c r="BG192" s="13" t="s">
        <v>2601</v>
      </c>
      <c r="BH192" s="13" t="s">
        <v>69</v>
      </c>
      <c r="BI192" s="13" t="s">
        <v>69</v>
      </c>
      <c r="BJ192" s="15">
        <v>1915</v>
      </c>
      <c r="BK192" s="13" t="s">
        <v>69</v>
      </c>
      <c r="BL192" s="14">
        <v>45507</v>
      </c>
      <c r="BM192" s="13" t="s">
        <v>69</v>
      </c>
      <c r="BN192" s="13" t="s">
        <v>69</v>
      </c>
      <c r="BO192" s="11" t="str">
        <f>HYPERLINK("https://my.pitchbook.com?c=617789-62","View Company Online")</f>
        <v>View Company Online</v>
      </c>
    </row>
    <row r="193" spans="1:67" x14ac:dyDescent="0.3">
      <c r="A193" s="3" t="s">
        <v>2602</v>
      </c>
      <c r="B193" s="3" t="s">
        <v>2603</v>
      </c>
      <c r="C193" s="3" t="s">
        <v>69</v>
      </c>
      <c r="D193" s="5" t="s">
        <v>69</v>
      </c>
      <c r="E193" s="3" t="s">
        <v>69</v>
      </c>
      <c r="F193" s="3" t="s">
        <v>69</v>
      </c>
      <c r="G193" s="3" t="s">
        <v>69</v>
      </c>
      <c r="H193" s="3" t="s">
        <v>69</v>
      </c>
      <c r="I193" s="4" t="s">
        <v>69</v>
      </c>
      <c r="J193" s="7" t="s">
        <v>69</v>
      </c>
      <c r="K193" s="4" t="s">
        <v>69</v>
      </c>
      <c r="L193" s="4" t="s">
        <v>69</v>
      </c>
      <c r="M193" s="4" t="s">
        <v>69</v>
      </c>
      <c r="N193" s="4" t="s">
        <v>69</v>
      </c>
      <c r="O193" s="4" t="s">
        <v>69</v>
      </c>
      <c r="P193" s="4" t="s">
        <v>69</v>
      </c>
      <c r="Q193" s="4" t="s">
        <v>69</v>
      </c>
      <c r="R193" s="6" t="s">
        <v>69</v>
      </c>
      <c r="S193" s="3" t="s">
        <v>69</v>
      </c>
      <c r="T193" s="3" t="s">
        <v>69</v>
      </c>
      <c r="U193" s="3" t="s">
        <v>69</v>
      </c>
      <c r="V193" s="3" t="s">
        <v>69</v>
      </c>
      <c r="W193" s="3" t="s">
        <v>69</v>
      </c>
      <c r="X193" s="3" t="s">
        <v>2604</v>
      </c>
      <c r="Y193" s="3" t="s">
        <v>69</v>
      </c>
      <c r="Z193" s="3" t="s">
        <v>69</v>
      </c>
      <c r="AA193" s="3" t="s">
        <v>2605</v>
      </c>
      <c r="AB193" s="3" t="s">
        <v>1142</v>
      </c>
      <c r="AC193" s="6" t="s">
        <v>2606</v>
      </c>
      <c r="AD193" s="3" t="s">
        <v>378</v>
      </c>
      <c r="AE193" s="6" t="s">
        <v>69</v>
      </c>
      <c r="AF193" s="6" t="s">
        <v>69</v>
      </c>
      <c r="AG193" s="3" t="s">
        <v>2607</v>
      </c>
      <c r="AH193" s="3" t="s">
        <v>379</v>
      </c>
      <c r="AI193" s="3" t="s">
        <v>380</v>
      </c>
      <c r="AJ193" s="3" t="s">
        <v>69</v>
      </c>
      <c r="AK193" s="3" t="s">
        <v>69</v>
      </c>
      <c r="AL193" s="3" t="s">
        <v>69</v>
      </c>
      <c r="AM193" s="3" t="s">
        <v>69</v>
      </c>
      <c r="AN193" s="3" t="s">
        <v>69</v>
      </c>
      <c r="AO193" s="3" t="s">
        <v>69</v>
      </c>
      <c r="AP193" s="3" t="s">
        <v>2602</v>
      </c>
      <c r="AQ193" s="3" t="s">
        <v>2608</v>
      </c>
      <c r="AR193" s="3" t="s">
        <v>383</v>
      </c>
      <c r="AS193" s="3" t="s">
        <v>384</v>
      </c>
      <c r="AT193" s="3" t="s">
        <v>385</v>
      </c>
      <c r="AU193" s="3" t="s">
        <v>2609</v>
      </c>
      <c r="AV193" s="3" t="s">
        <v>69</v>
      </c>
      <c r="AW193" s="3" t="s">
        <v>2610</v>
      </c>
      <c r="AX193" s="3" t="s">
        <v>69</v>
      </c>
      <c r="AY193" s="3" t="s">
        <v>90</v>
      </c>
      <c r="AZ193" s="8" t="s">
        <v>69</v>
      </c>
      <c r="BA193" s="3" t="s">
        <v>91</v>
      </c>
      <c r="BB193" s="3" t="s">
        <v>92</v>
      </c>
      <c r="BC193" s="3" t="s">
        <v>93</v>
      </c>
      <c r="BD193" s="12" t="str">
        <f>HYPERLINK("http://vardeco.com","vardeco.com")</f>
        <v>vardeco.com</v>
      </c>
      <c r="BE193" s="12" t="str">
        <f>HYPERLINK("http://www.linkedin.com/company/vardeco-sa","http://www.linkedin.com/company/vardeco-sa")</f>
        <v>http://www.linkedin.com/company/vardeco-sa</v>
      </c>
      <c r="BF193" s="9">
        <v>62</v>
      </c>
      <c r="BG193" s="3" t="s">
        <v>2611</v>
      </c>
      <c r="BH193" s="3" t="s">
        <v>69</v>
      </c>
      <c r="BI193" s="3" t="s">
        <v>69</v>
      </c>
      <c r="BJ193" s="10">
        <v>1984</v>
      </c>
      <c r="BK193" s="3" t="s">
        <v>69</v>
      </c>
      <c r="BL193" s="1">
        <v>45135</v>
      </c>
      <c r="BM193" s="3" t="s">
        <v>69</v>
      </c>
      <c r="BN193" s="3" t="s">
        <v>69</v>
      </c>
      <c r="BO193" s="12" t="str">
        <f>HYPERLINK("https://my.pitchbook.com?c=321004-00","View Company Online")</f>
        <v>View Company Online</v>
      </c>
    </row>
    <row r="194" spans="1:67" x14ac:dyDescent="0.3">
      <c r="A194" s="13" t="s">
        <v>2612</v>
      </c>
      <c r="B194" s="13" t="s">
        <v>2613</v>
      </c>
      <c r="C194" s="13" t="s">
        <v>69</v>
      </c>
      <c r="D194" s="21" t="s">
        <v>69</v>
      </c>
      <c r="E194" s="13" t="s">
        <v>69</v>
      </c>
      <c r="F194" s="13" t="s">
        <v>69</v>
      </c>
      <c r="G194" s="13" t="s">
        <v>69</v>
      </c>
      <c r="H194" s="13" t="s">
        <v>69</v>
      </c>
      <c r="I194" s="19" t="s">
        <v>69</v>
      </c>
      <c r="J194" s="20" t="s">
        <v>69</v>
      </c>
      <c r="K194" s="19" t="s">
        <v>69</v>
      </c>
      <c r="L194" s="19" t="s">
        <v>69</v>
      </c>
      <c r="M194" s="19" t="s">
        <v>69</v>
      </c>
      <c r="N194" s="19" t="s">
        <v>69</v>
      </c>
      <c r="O194" s="19" t="s">
        <v>69</v>
      </c>
      <c r="P194" s="19" t="s">
        <v>69</v>
      </c>
      <c r="Q194" s="19" t="s">
        <v>69</v>
      </c>
      <c r="R194" s="18" t="s">
        <v>69</v>
      </c>
      <c r="S194" s="13" t="s">
        <v>2614</v>
      </c>
      <c r="T194" s="13" t="s">
        <v>2615</v>
      </c>
      <c r="U194" s="13" t="s">
        <v>2329</v>
      </c>
      <c r="V194" s="13" t="s">
        <v>2616</v>
      </c>
      <c r="W194" s="13" t="s">
        <v>2617</v>
      </c>
      <c r="X194" s="13" t="s">
        <v>1099</v>
      </c>
      <c r="Y194" s="13" t="s">
        <v>2618</v>
      </c>
      <c r="Z194" s="13" t="s">
        <v>2619</v>
      </c>
      <c r="AA194" s="13" t="s">
        <v>1102</v>
      </c>
      <c r="AB194" s="13" t="s">
        <v>1102</v>
      </c>
      <c r="AC194" s="18" t="s">
        <v>2620</v>
      </c>
      <c r="AD194" s="13" t="s">
        <v>378</v>
      </c>
      <c r="AE194" s="18" t="s">
        <v>2617</v>
      </c>
      <c r="AF194" s="18" t="s">
        <v>69</v>
      </c>
      <c r="AG194" s="13" t="s">
        <v>2621</v>
      </c>
      <c r="AH194" s="13" t="s">
        <v>379</v>
      </c>
      <c r="AI194" s="13" t="s">
        <v>380</v>
      </c>
      <c r="AJ194" s="13" t="s">
        <v>69</v>
      </c>
      <c r="AK194" s="13" t="s">
        <v>69</v>
      </c>
      <c r="AL194" s="13" t="s">
        <v>69</v>
      </c>
      <c r="AM194" s="13" t="s">
        <v>69</v>
      </c>
      <c r="AN194" s="13" t="s">
        <v>69</v>
      </c>
      <c r="AO194" s="13" t="s">
        <v>69</v>
      </c>
      <c r="AP194" s="13" t="s">
        <v>2612</v>
      </c>
      <c r="AQ194" s="13" t="s">
        <v>2622</v>
      </c>
      <c r="AR194" s="13" t="s">
        <v>85</v>
      </c>
      <c r="AS194" s="13" t="s">
        <v>211</v>
      </c>
      <c r="AT194" s="13" t="s">
        <v>299</v>
      </c>
      <c r="AU194" s="13" t="s">
        <v>2623</v>
      </c>
      <c r="AV194" s="13" t="s">
        <v>1577</v>
      </c>
      <c r="AW194" s="13" t="s">
        <v>2624</v>
      </c>
      <c r="AX194" s="13" t="s">
        <v>69</v>
      </c>
      <c r="AY194" s="13" t="s">
        <v>90</v>
      </c>
      <c r="AZ194" s="17" t="s">
        <v>69</v>
      </c>
      <c r="BA194" s="13" t="s">
        <v>91</v>
      </c>
      <c r="BB194" s="13" t="s">
        <v>92</v>
      </c>
      <c r="BC194" s="13" t="s">
        <v>93</v>
      </c>
      <c r="BD194" s="11" t="str">
        <f>HYPERLINK("http://www.verdura.com","www.verdura.com")</f>
        <v>www.verdura.com</v>
      </c>
      <c r="BE194" s="11" t="str">
        <f>HYPERLINK("http://www.linkedin.com/company/verdura","http://www.linkedin.com/company/verdura")</f>
        <v>http://www.linkedin.com/company/verdura</v>
      </c>
      <c r="BF194" s="16">
        <v>57</v>
      </c>
      <c r="BG194" s="13" t="s">
        <v>2625</v>
      </c>
      <c r="BH194" s="13" t="s">
        <v>69</v>
      </c>
      <c r="BI194" s="13" t="s">
        <v>69</v>
      </c>
      <c r="BJ194" s="15">
        <v>1939</v>
      </c>
      <c r="BK194" s="13" t="s">
        <v>69</v>
      </c>
      <c r="BL194" s="14">
        <v>45489</v>
      </c>
      <c r="BM194" s="13" t="s">
        <v>69</v>
      </c>
      <c r="BN194" s="13" t="s">
        <v>69</v>
      </c>
      <c r="BO194" s="11" t="str">
        <f>HYPERLINK("https://my.pitchbook.com?c=483900-67","View Company Online")</f>
        <v>View Company Online</v>
      </c>
    </row>
    <row r="195" spans="1:67" x14ac:dyDescent="0.3">
      <c r="A195" s="3" t="s">
        <v>2626</v>
      </c>
      <c r="B195" s="3" t="s">
        <v>2627</v>
      </c>
      <c r="C195" s="3" t="s">
        <v>69</v>
      </c>
      <c r="D195" s="5" t="s">
        <v>69</v>
      </c>
      <c r="E195" s="3" t="s">
        <v>69</v>
      </c>
      <c r="F195" s="3" t="s">
        <v>69</v>
      </c>
      <c r="G195" s="3" t="s">
        <v>69</v>
      </c>
      <c r="H195" s="3" t="s">
        <v>69</v>
      </c>
      <c r="I195" s="4" t="s">
        <v>69</v>
      </c>
      <c r="J195" s="7" t="s">
        <v>69</v>
      </c>
      <c r="K195" s="4">
        <v>12.92</v>
      </c>
      <c r="L195" s="4">
        <v>3.45</v>
      </c>
      <c r="M195" s="4" t="s">
        <v>69</v>
      </c>
      <c r="N195" s="4">
        <v>4.62</v>
      </c>
      <c r="O195" s="4">
        <v>3.99</v>
      </c>
      <c r="P195" s="4" t="s">
        <v>69</v>
      </c>
      <c r="Q195" s="4">
        <v>8.16</v>
      </c>
      <c r="R195" s="6" t="s">
        <v>156</v>
      </c>
      <c r="S195" s="3" t="s">
        <v>2628</v>
      </c>
      <c r="T195" s="3" t="s">
        <v>2629</v>
      </c>
      <c r="U195" s="3" t="s">
        <v>1565</v>
      </c>
      <c r="V195" s="3" t="s">
        <v>2630</v>
      </c>
      <c r="W195" s="3" t="s">
        <v>2631</v>
      </c>
      <c r="X195" s="3" t="s">
        <v>2632</v>
      </c>
      <c r="Y195" s="3" t="s">
        <v>2633</v>
      </c>
      <c r="Z195" s="3" t="s">
        <v>69</v>
      </c>
      <c r="AA195" s="3" t="s">
        <v>2634</v>
      </c>
      <c r="AB195" s="3" t="s">
        <v>2635</v>
      </c>
      <c r="AC195" s="6" t="s">
        <v>2636</v>
      </c>
      <c r="AD195" s="3" t="s">
        <v>2637</v>
      </c>
      <c r="AE195" s="6" t="s">
        <v>2631</v>
      </c>
      <c r="AF195" s="6" t="s">
        <v>69</v>
      </c>
      <c r="AG195" s="3" t="s">
        <v>2638</v>
      </c>
      <c r="AH195" s="3" t="s">
        <v>78</v>
      </c>
      <c r="AI195" s="3" t="s">
        <v>107</v>
      </c>
      <c r="AJ195" s="3" t="s">
        <v>2639</v>
      </c>
      <c r="AK195" s="3" t="s">
        <v>69</v>
      </c>
      <c r="AL195" s="3" t="s">
        <v>2640</v>
      </c>
      <c r="AM195" s="3" t="s">
        <v>2641</v>
      </c>
      <c r="AN195" s="3" t="s">
        <v>2642</v>
      </c>
      <c r="AO195" s="3" t="s">
        <v>69</v>
      </c>
      <c r="AP195" s="3" t="s">
        <v>2626</v>
      </c>
      <c r="AQ195" s="3" t="s">
        <v>2643</v>
      </c>
      <c r="AR195" s="3" t="s">
        <v>85</v>
      </c>
      <c r="AS195" s="3" t="s">
        <v>86</v>
      </c>
      <c r="AT195" s="3" t="s">
        <v>87</v>
      </c>
      <c r="AU195" s="3" t="s">
        <v>1146</v>
      </c>
      <c r="AV195" s="3" t="s">
        <v>69</v>
      </c>
      <c r="AW195" s="3" t="s">
        <v>2644</v>
      </c>
      <c r="AX195" s="3" t="s">
        <v>69</v>
      </c>
      <c r="AY195" s="3" t="s">
        <v>90</v>
      </c>
      <c r="AZ195" s="8" t="s">
        <v>69</v>
      </c>
      <c r="BA195" s="3" t="s">
        <v>91</v>
      </c>
      <c r="BB195" s="3" t="s">
        <v>92</v>
      </c>
      <c r="BC195" s="3" t="s">
        <v>93</v>
      </c>
      <c r="BD195" s="12" t="str">
        <f>HYPERLINK("http://www.vibholm.dk","www.vibholm.dk")</f>
        <v>www.vibholm.dk</v>
      </c>
      <c r="BE195" s="12" t="str">
        <f>HYPERLINK("http://www.linkedin.com/company/vibholm-guld-og-s-lv","http://www.linkedin.com/company/vibholm-guld-og-s-lv")</f>
        <v>http://www.linkedin.com/company/vibholm-guld-og-s-lv</v>
      </c>
      <c r="BF195" s="9">
        <v>282</v>
      </c>
      <c r="BG195" s="3" t="s">
        <v>2645</v>
      </c>
      <c r="BH195" s="3" t="s">
        <v>69</v>
      </c>
      <c r="BI195" s="3" t="s">
        <v>69</v>
      </c>
      <c r="BJ195" s="10">
        <v>2008</v>
      </c>
      <c r="BK195" s="3" t="s">
        <v>69</v>
      </c>
      <c r="BL195" s="1">
        <v>45645</v>
      </c>
      <c r="BM195" s="3" t="s">
        <v>69</v>
      </c>
      <c r="BN195" s="3" t="s">
        <v>69</v>
      </c>
      <c r="BO195" s="12" t="str">
        <f>HYPERLINK("https://my.pitchbook.com?c=573356-53","View Company Online")</f>
        <v>View Company Online</v>
      </c>
    </row>
    <row r="196" spans="1:67" x14ac:dyDescent="0.3">
      <c r="A196" s="13" t="s">
        <v>2646</v>
      </c>
      <c r="B196" s="13" t="s">
        <v>2647</v>
      </c>
      <c r="C196" s="13" t="s">
        <v>69</v>
      </c>
      <c r="D196" s="21" t="s">
        <v>69</v>
      </c>
      <c r="E196" s="13" t="s">
        <v>69</v>
      </c>
      <c r="F196" s="13" t="s">
        <v>69</v>
      </c>
      <c r="G196" s="13" t="s">
        <v>69</v>
      </c>
      <c r="H196" s="13" t="s">
        <v>69</v>
      </c>
      <c r="I196" s="19" t="s">
        <v>69</v>
      </c>
      <c r="J196" s="20" t="s">
        <v>69</v>
      </c>
      <c r="K196" s="19" t="s">
        <v>69</v>
      </c>
      <c r="L196" s="19" t="s">
        <v>69</v>
      </c>
      <c r="M196" s="19" t="s">
        <v>69</v>
      </c>
      <c r="N196" s="19" t="s">
        <v>69</v>
      </c>
      <c r="O196" s="19" t="s">
        <v>69</v>
      </c>
      <c r="P196" s="19" t="s">
        <v>69</v>
      </c>
      <c r="Q196" s="19" t="s">
        <v>69</v>
      </c>
      <c r="R196" s="18" t="s">
        <v>69</v>
      </c>
      <c r="S196" s="13" t="s">
        <v>69</v>
      </c>
      <c r="T196" s="13" t="s">
        <v>69</v>
      </c>
      <c r="U196" s="13" t="s">
        <v>69</v>
      </c>
      <c r="V196" s="13" t="s">
        <v>69</v>
      </c>
      <c r="W196" s="13" t="s">
        <v>69</v>
      </c>
      <c r="X196" s="13" t="s">
        <v>69</v>
      </c>
      <c r="Y196" s="13" t="s">
        <v>69</v>
      </c>
      <c r="Z196" s="13" t="s">
        <v>69</v>
      </c>
      <c r="AA196" s="13" t="s">
        <v>69</v>
      </c>
      <c r="AB196" s="13" t="s">
        <v>69</v>
      </c>
      <c r="AC196" s="18" t="s">
        <v>69</v>
      </c>
      <c r="AD196" s="13" t="s">
        <v>69</v>
      </c>
      <c r="AE196" s="18" t="s">
        <v>69</v>
      </c>
      <c r="AF196" s="18" t="s">
        <v>69</v>
      </c>
      <c r="AG196" s="13" t="s">
        <v>69</v>
      </c>
      <c r="AH196" s="13" t="s">
        <v>69</v>
      </c>
      <c r="AI196" s="13" t="s">
        <v>69</v>
      </c>
      <c r="AJ196" s="13" t="s">
        <v>69</v>
      </c>
      <c r="AK196" s="13" t="s">
        <v>69</v>
      </c>
      <c r="AL196" s="13" t="s">
        <v>69</v>
      </c>
      <c r="AM196" s="13" t="s">
        <v>69</v>
      </c>
      <c r="AN196" s="13" t="s">
        <v>69</v>
      </c>
      <c r="AO196" s="13" t="s">
        <v>69</v>
      </c>
      <c r="AP196" s="13" t="s">
        <v>2646</v>
      </c>
      <c r="AQ196" s="13" t="s">
        <v>2648</v>
      </c>
      <c r="AR196" s="13" t="s">
        <v>85</v>
      </c>
      <c r="AS196" s="13" t="s">
        <v>86</v>
      </c>
      <c r="AT196" s="13" t="s">
        <v>168</v>
      </c>
      <c r="AU196" s="13" t="s">
        <v>169</v>
      </c>
      <c r="AV196" s="13" t="s">
        <v>69</v>
      </c>
      <c r="AW196" s="13" t="s">
        <v>2649</v>
      </c>
      <c r="AX196" s="13" t="s">
        <v>69</v>
      </c>
      <c r="AY196" s="13" t="s">
        <v>90</v>
      </c>
      <c r="AZ196" s="17" t="s">
        <v>69</v>
      </c>
      <c r="BA196" s="13" t="s">
        <v>69</v>
      </c>
      <c r="BB196" s="13" t="s">
        <v>92</v>
      </c>
      <c r="BC196" s="13" t="s">
        <v>93</v>
      </c>
      <c r="BD196" s="11" t="str">
        <f>HYPERLINK("http://wallacebishop.com.au","wallacebishop.com.au")</f>
        <v>wallacebishop.com.au</v>
      </c>
      <c r="BE196" s="11" t="str">
        <f>HYPERLINK("http://www.linkedin.com/company/wallace-bishop","http://www.linkedin.com/company/wallace-bishop")</f>
        <v>http://www.linkedin.com/company/wallace-bishop</v>
      </c>
      <c r="BF196" s="16">
        <v>500</v>
      </c>
      <c r="BG196" s="13" t="s">
        <v>2650</v>
      </c>
      <c r="BH196" s="13" t="s">
        <v>69</v>
      </c>
      <c r="BI196" s="13" t="s">
        <v>69</v>
      </c>
      <c r="BJ196" s="15">
        <v>1917</v>
      </c>
      <c r="BK196" s="13" t="s">
        <v>69</v>
      </c>
      <c r="BL196" s="14">
        <v>45135</v>
      </c>
      <c r="BM196" s="13" t="s">
        <v>69</v>
      </c>
      <c r="BN196" s="13" t="s">
        <v>69</v>
      </c>
      <c r="BO196" s="11" t="str">
        <f>HYPERLINK("https://my.pitchbook.com?c=130728-70","View Company Online")</f>
        <v>View Company Online</v>
      </c>
    </row>
    <row r="197" spans="1:67" x14ac:dyDescent="0.3">
      <c r="A197" s="3" t="s">
        <v>2651</v>
      </c>
      <c r="B197" s="3" t="s">
        <v>2652</v>
      </c>
      <c r="C197" s="3" t="s">
        <v>69</v>
      </c>
      <c r="D197" s="5" t="s">
        <v>69</v>
      </c>
      <c r="E197" s="3" t="s">
        <v>69</v>
      </c>
      <c r="F197" s="3" t="s">
        <v>69</v>
      </c>
      <c r="G197" s="3" t="s">
        <v>69</v>
      </c>
      <c r="H197" s="3" t="s">
        <v>69</v>
      </c>
      <c r="I197" s="4" t="s">
        <v>69</v>
      </c>
      <c r="J197" s="7" t="s">
        <v>69</v>
      </c>
      <c r="K197" s="4" t="s">
        <v>69</v>
      </c>
      <c r="L197" s="4" t="s">
        <v>69</v>
      </c>
      <c r="M197" s="4" t="s">
        <v>69</v>
      </c>
      <c r="N197" s="4" t="s">
        <v>69</v>
      </c>
      <c r="O197" s="4" t="s">
        <v>69</v>
      </c>
      <c r="P197" s="4" t="s">
        <v>69</v>
      </c>
      <c r="Q197" s="4" t="s">
        <v>69</v>
      </c>
      <c r="R197" s="6" t="s">
        <v>69</v>
      </c>
      <c r="S197" s="3" t="s">
        <v>69</v>
      </c>
      <c r="T197" s="3" t="s">
        <v>69</v>
      </c>
      <c r="U197" s="3" t="s">
        <v>69</v>
      </c>
      <c r="V197" s="3" t="s">
        <v>69</v>
      </c>
      <c r="W197" s="3" t="s">
        <v>69</v>
      </c>
      <c r="X197" s="3" t="s">
        <v>1413</v>
      </c>
      <c r="Y197" s="3" t="s">
        <v>2653</v>
      </c>
      <c r="Z197" s="3" t="s">
        <v>69</v>
      </c>
      <c r="AA197" s="3" t="s">
        <v>1416</v>
      </c>
      <c r="AB197" s="3" t="s">
        <v>1417</v>
      </c>
      <c r="AC197" s="6" t="s">
        <v>2654</v>
      </c>
      <c r="AD197" s="3" t="s">
        <v>1017</v>
      </c>
      <c r="AE197" s="6" t="s">
        <v>69</v>
      </c>
      <c r="AF197" s="6" t="s">
        <v>69</v>
      </c>
      <c r="AG197" s="3" t="s">
        <v>69</v>
      </c>
      <c r="AH197" s="3" t="s">
        <v>1020</v>
      </c>
      <c r="AI197" s="3" t="s">
        <v>1020</v>
      </c>
      <c r="AJ197" s="3" t="s">
        <v>69</v>
      </c>
      <c r="AK197" s="3" t="s">
        <v>69</v>
      </c>
      <c r="AL197" s="3" t="s">
        <v>69</v>
      </c>
      <c r="AM197" s="3" t="s">
        <v>69</v>
      </c>
      <c r="AN197" s="3" t="s">
        <v>69</v>
      </c>
      <c r="AO197" s="3" t="s">
        <v>69</v>
      </c>
      <c r="AP197" s="3" t="s">
        <v>2651</v>
      </c>
      <c r="AQ197" s="3" t="s">
        <v>2655</v>
      </c>
      <c r="AR197" s="3" t="s">
        <v>85</v>
      </c>
      <c r="AS197" s="3" t="s">
        <v>86</v>
      </c>
      <c r="AT197" s="3" t="s">
        <v>87</v>
      </c>
      <c r="AU197" s="3" t="s">
        <v>112</v>
      </c>
      <c r="AV197" s="3" t="s">
        <v>69</v>
      </c>
      <c r="AW197" s="3" t="s">
        <v>2656</v>
      </c>
      <c r="AX197" s="3" t="s">
        <v>69</v>
      </c>
      <c r="AY197" s="3" t="s">
        <v>90</v>
      </c>
      <c r="AZ197" s="8" t="s">
        <v>69</v>
      </c>
      <c r="BA197" s="3" t="s">
        <v>69</v>
      </c>
      <c r="BB197" s="3" t="s">
        <v>92</v>
      </c>
      <c r="BC197" s="3" t="s">
        <v>93</v>
      </c>
      <c r="BD197" s="12" t="str">
        <f>HYPERLINK("http://watchswiss.com","watchswiss.com")</f>
        <v>watchswiss.com</v>
      </c>
      <c r="BE197" s="12" t="str">
        <f>HYPERLINK("http://www.linkedin.com/company/watches-of-switzerland-australia","http://www.linkedin.com/company/watches-of-switzerland-australia")</f>
        <v>http://www.linkedin.com/company/watches-of-switzerland-australia</v>
      </c>
      <c r="BF197" s="9">
        <v>62</v>
      </c>
      <c r="BG197" s="3" t="s">
        <v>2657</v>
      </c>
      <c r="BH197" s="3" t="s">
        <v>69</v>
      </c>
      <c r="BI197" s="3" t="s">
        <v>69</v>
      </c>
      <c r="BJ197" s="10">
        <v>1997</v>
      </c>
      <c r="BK197" s="3" t="s">
        <v>69</v>
      </c>
      <c r="BL197" s="1">
        <v>45508</v>
      </c>
      <c r="BM197" s="3" t="s">
        <v>69</v>
      </c>
      <c r="BN197" s="3" t="s">
        <v>69</v>
      </c>
      <c r="BO197" s="12" t="str">
        <f>HYPERLINK("https://my.pitchbook.com?c=619637-86","View Company Online")</f>
        <v>View Company Online</v>
      </c>
    </row>
    <row r="198" spans="1:67" x14ac:dyDescent="0.3">
      <c r="A198" s="13" t="s">
        <v>2658</v>
      </c>
      <c r="B198" s="13" t="s">
        <v>2659</v>
      </c>
      <c r="C198" s="13" t="s">
        <v>69</v>
      </c>
      <c r="D198" s="21" t="s">
        <v>69</v>
      </c>
      <c r="E198" s="13" t="s">
        <v>69</v>
      </c>
      <c r="F198" s="13" t="s">
        <v>69</v>
      </c>
      <c r="G198" s="13" t="s">
        <v>69</v>
      </c>
      <c r="H198" s="13" t="s">
        <v>69</v>
      </c>
      <c r="I198" s="19" t="s">
        <v>69</v>
      </c>
      <c r="J198" s="20" t="s">
        <v>69</v>
      </c>
      <c r="K198" s="19" t="s">
        <v>69</v>
      </c>
      <c r="L198" s="19" t="s">
        <v>69</v>
      </c>
      <c r="M198" s="19" t="s">
        <v>69</v>
      </c>
      <c r="N198" s="19" t="s">
        <v>69</v>
      </c>
      <c r="O198" s="19" t="s">
        <v>69</v>
      </c>
      <c r="P198" s="19" t="s">
        <v>69</v>
      </c>
      <c r="Q198" s="19" t="s">
        <v>69</v>
      </c>
      <c r="R198" s="18" t="s">
        <v>69</v>
      </c>
      <c r="S198" s="13" t="s">
        <v>2660</v>
      </c>
      <c r="T198" s="13" t="s">
        <v>2661</v>
      </c>
      <c r="U198" s="13" t="s">
        <v>257</v>
      </c>
      <c r="V198" s="13" t="s">
        <v>2662</v>
      </c>
      <c r="W198" s="13" t="s">
        <v>2663</v>
      </c>
      <c r="X198" s="13" t="s">
        <v>2664</v>
      </c>
      <c r="Y198" s="13" t="s">
        <v>2665</v>
      </c>
      <c r="Z198" s="13" t="s">
        <v>69</v>
      </c>
      <c r="AA198" s="13" t="s">
        <v>2666</v>
      </c>
      <c r="AB198" s="13" t="s">
        <v>69</v>
      </c>
      <c r="AC198" s="18" t="s">
        <v>2667</v>
      </c>
      <c r="AD198" s="13" t="s">
        <v>232</v>
      </c>
      <c r="AE198" s="18" t="s">
        <v>2668</v>
      </c>
      <c r="AF198" s="18" t="s">
        <v>69</v>
      </c>
      <c r="AG198" s="13" t="s">
        <v>2669</v>
      </c>
      <c r="AH198" s="13" t="s">
        <v>78</v>
      </c>
      <c r="AI198" s="13" t="s">
        <v>132</v>
      </c>
      <c r="AJ198" s="13" t="s">
        <v>2670</v>
      </c>
      <c r="AK198" s="13" t="s">
        <v>2671</v>
      </c>
      <c r="AL198" s="13" t="s">
        <v>2672</v>
      </c>
      <c r="AM198" s="13" t="s">
        <v>2673</v>
      </c>
      <c r="AN198" s="13" t="s">
        <v>235</v>
      </c>
      <c r="AO198" s="13" t="s">
        <v>2674</v>
      </c>
      <c r="AP198" s="13" t="s">
        <v>2658</v>
      </c>
      <c r="AQ198" s="13" t="s">
        <v>2675</v>
      </c>
      <c r="AR198" s="13" t="s">
        <v>85</v>
      </c>
      <c r="AS198" s="13" t="s">
        <v>211</v>
      </c>
      <c r="AT198" s="13" t="s">
        <v>1632</v>
      </c>
      <c r="AU198" s="13" t="s">
        <v>2676</v>
      </c>
      <c r="AV198" s="13" t="s">
        <v>113</v>
      </c>
      <c r="AW198" s="13" t="s">
        <v>2677</v>
      </c>
      <c r="AX198" s="13" t="s">
        <v>69</v>
      </c>
      <c r="AY198" s="13" t="s">
        <v>90</v>
      </c>
      <c r="AZ198" s="17" t="s">
        <v>69</v>
      </c>
      <c r="BA198" s="13" t="s">
        <v>91</v>
      </c>
      <c r="BB198" s="13" t="s">
        <v>92</v>
      </c>
      <c r="BC198" s="13" t="s">
        <v>93</v>
      </c>
      <c r="BD198" s="11" t="str">
        <f>HYPERLINK("http://www.wefashion.nl","www.wefashion.nl")</f>
        <v>www.wefashion.nl</v>
      </c>
      <c r="BE198" s="11" t="str">
        <f>HYPERLINK("http://www.linkedin.com/company/wefashion","http://www.linkedin.com/company/wefashion")</f>
        <v>http://www.linkedin.com/company/wefashion</v>
      </c>
      <c r="BF198" s="16">
        <v>1013</v>
      </c>
      <c r="BG198" s="13" t="s">
        <v>2678</v>
      </c>
      <c r="BH198" s="13" t="s">
        <v>69</v>
      </c>
      <c r="BI198" s="13" t="s">
        <v>69</v>
      </c>
      <c r="BJ198" s="15">
        <v>1962</v>
      </c>
      <c r="BK198" s="13" t="s">
        <v>69</v>
      </c>
      <c r="BL198" s="14">
        <v>45735</v>
      </c>
      <c r="BM198" s="13" t="s">
        <v>69</v>
      </c>
      <c r="BN198" s="13" t="s">
        <v>69</v>
      </c>
      <c r="BO198" s="11" t="str">
        <f>HYPERLINK("https://my.pitchbook.com?c=225109-45","View Company Online")</f>
        <v>View Company Online</v>
      </c>
    </row>
    <row r="199" spans="1:67" x14ac:dyDescent="0.3">
      <c r="A199" s="3" t="s">
        <v>2679</v>
      </c>
      <c r="B199" s="3" t="s">
        <v>2680</v>
      </c>
      <c r="C199" s="3" t="s">
        <v>69</v>
      </c>
      <c r="D199" s="5" t="s">
        <v>69</v>
      </c>
      <c r="E199" s="3" t="s">
        <v>69</v>
      </c>
      <c r="F199" s="3" t="s">
        <v>69</v>
      </c>
      <c r="G199" s="3" t="s">
        <v>69</v>
      </c>
      <c r="H199" s="3" t="s">
        <v>69</v>
      </c>
      <c r="I199" s="4" t="s">
        <v>69</v>
      </c>
      <c r="J199" s="7" t="s">
        <v>69</v>
      </c>
      <c r="K199" s="4" t="s">
        <v>69</v>
      </c>
      <c r="L199" s="4" t="s">
        <v>69</v>
      </c>
      <c r="M199" s="4" t="s">
        <v>69</v>
      </c>
      <c r="N199" s="4" t="s">
        <v>69</v>
      </c>
      <c r="O199" s="4" t="s">
        <v>69</v>
      </c>
      <c r="P199" s="4" t="s">
        <v>69</v>
      </c>
      <c r="Q199" s="4" t="s">
        <v>69</v>
      </c>
      <c r="R199" s="6" t="s">
        <v>69</v>
      </c>
      <c r="S199" s="3" t="s">
        <v>69</v>
      </c>
      <c r="T199" s="3" t="s">
        <v>69</v>
      </c>
      <c r="U199" s="3" t="s">
        <v>69</v>
      </c>
      <c r="V199" s="3" t="s">
        <v>69</v>
      </c>
      <c r="W199" s="3" t="s">
        <v>69</v>
      </c>
      <c r="X199" s="3" t="s">
        <v>2681</v>
      </c>
      <c r="Y199" s="3" t="s">
        <v>2682</v>
      </c>
      <c r="Z199" s="3" t="s">
        <v>69</v>
      </c>
      <c r="AA199" s="3" t="s">
        <v>2683</v>
      </c>
      <c r="AB199" s="3" t="s">
        <v>1819</v>
      </c>
      <c r="AC199" s="6" t="s">
        <v>2684</v>
      </c>
      <c r="AD199" s="3" t="s">
        <v>378</v>
      </c>
      <c r="AE199" s="6" t="s">
        <v>2685</v>
      </c>
      <c r="AF199" s="6" t="s">
        <v>69</v>
      </c>
      <c r="AG199" s="3" t="s">
        <v>69</v>
      </c>
      <c r="AH199" s="3" t="s">
        <v>379</v>
      </c>
      <c r="AI199" s="3" t="s">
        <v>380</v>
      </c>
      <c r="AJ199" s="3" t="s">
        <v>69</v>
      </c>
      <c r="AK199" s="3" t="s">
        <v>69</v>
      </c>
      <c r="AL199" s="3" t="s">
        <v>2686</v>
      </c>
      <c r="AM199" s="3" t="s">
        <v>69</v>
      </c>
      <c r="AN199" s="3" t="s">
        <v>69</v>
      </c>
      <c r="AO199" s="3" t="s">
        <v>69</v>
      </c>
      <c r="AP199" s="3" t="s">
        <v>2679</v>
      </c>
      <c r="AQ199" s="3" t="s">
        <v>2687</v>
      </c>
      <c r="AR199" s="3" t="s">
        <v>2688</v>
      </c>
      <c r="AS199" s="3" t="s">
        <v>2689</v>
      </c>
      <c r="AT199" s="3" t="s">
        <v>2690</v>
      </c>
      <c r="AU199" s="3" t="s">
        <v>2691</v>
      </c>
      <c r="AV199" s="3" t="s">
        <v>69</v>
      </c>
      <c r="AW199" s="3" t="s">
        <v>69</v>
      </c>
      <c r="AX199" s="3" t="s">
        <v>69</v>
      </c>
      <c r="AY199" s="3" t="s">
        <v>90</v>
      </c>
      <c r="AZ199" s="8" t="s">
        <v>69</v>
      </c>
      <c r="BA199" s="3" t="s">
        <v>1233</v>
      </c>
      <c r="BB199" s="3" t="s">
        <v>92</v>
      </c>
      <c r="BC199" s="3" t="s">
        <v>93</v>
      </c>
      <c r="BD199" s="12" t="str">
        <f>HYPERLINK("http://www.wellwerksenergy.com","www.wellwerksenergy.com")</f>
        <v>www.wellwerksenergy.com</v>
      </c>
      <c r="BE199" s="12" t="str">
        <f>HYPERLINK("http://www.linkedin.com/company/well-werks-energy","http://www.linkedin.com/company/well-werks-energy")</f>
        <v>http://www.linkedin.com/company/well-werks-energy</v>
      </c>
      <c r="BF199" s="9">
        <v>56</v>
      </c>
      <c r="BG199" s="3" t="s">
        <v>2692</v>
      </c>
      <c r="BH199" s="3" t="s">
        <v>69</v>
      </c>
      <c r="BI199" s="3" t="s">
        <v>69</v>
      </c>
      <c r="BJ199" s="10">
        <v>2020</v>
      </c>
      <c r="BK199" s="3" t="s">
        <v>69</v>
      </c>
      <c r="BL199" s="1">
        <v>45742</v>
      </c>
      <c r="BM199" s="3" t="s">
        <v>69</v>
      </c>
      <c r="BN199" s="3" t="s">
        <v>69</v>
      </c>
      <c r="BO199" s="12" t="str">
        <f>HYPERLINK("https://my.pitchbook.com?c=764349-40","View Company Online")</f>
        <v>View Company Online</v>
      </c>
    </row>
    <row r="200" spans="1:67" x14ac:dyDescent="0.3">
      <c r="A200" s="13" t="s">
        <v>2693</v>
      </c>
      <c r="B200" s="13" t="s">
        <v>2694</v>
      </c>
      <c r="C200" s="13" t="s">
        <v>69</v>
      </c>
      <c r="D200" s="21" t="s">
        <v>69</v>
      </c>
      <c r="E200" s="13" t="s">
        <v>69</v>
      </c>
      <c r="F200" s="13" t="s">
        <v>69</v>
      </c>
      <c r="G200" s="13" t="s">
        <v>69</v>
      </c>
      <c r="H200" s="13" t="s">
        <v>69</v>
      </c>
      <c r="I200" s="19" t="s">
        <v>69</v>
      </c>
      <c r="J200" s="20" t="s">
        <v>69</v>
      </c>
      <c r="K200" s="19" t="s">
        <v>69</v>
      </c>
      <c r="L200" s="19" t="s">
        <v>69</v>
      </c>
      <c r="M200" s="19" t="s">
        <v>69</v>
      </c>
      <c r="N200" s="19" t="s">
        <v>69</v>
      </c>
      <c r="O200" s="19" t="s">
        <v>69</v>
      </c>
      <c r="P200" s="19" t="s">
        <v>69</v>
      </c>
      <c r="Q200" s="19" t="s">
        <v>69</v>
      </c>
      <c r="R200" s="18" t="s">
        <v>69</v>
      </c>
      <c r="S200" s="13" t="s">
        <v>69</v>
      </c>
      <c r="T200" s="13" t="s">
        <v>69</v>
      </c>
      <c r="U200" s="13" t="s">
        <v>69</v>
      </c>
      <c r="V200" s="13" t="s">
        <v>69</v>
      </c>
      <c r="W200" s="13" t="s">
        <v>69</v>
      </c>
      <c r="X200" s="13" t="s">
        <v>2695</v>
      </c>
      <c r="Y200" s="13" t="s">
        <v>2696</v>
      </c>
      <c r="Z200" s="13" t="s">
        <v>69</v>
      </c>
      <c r="AA200" s="13" t="s">
        <v>2697</v>
      </c>
      <c r="AB200" s="13" t="s">
        <v>1255</v>
      </c>
      <c r="AC200" s="18" t="s">
        <v>2698</v>
      </c>
      <c r="AD200" s="13" t="s">
        <v>128</v>
      </c>
      <c r="AE200" s="18" t="s">
        <v>69</v>
      </c>
      <c r="AF200" s="18" t="s">
        <v>69</v>
      </c>
      <c r="AG200" s="13" t="s">
        <v>69</v>
      </c>
      <c r="AH200" s="13" t="s">
        <v>78</v>
      </c>
      <c r="AI200" s="13" t="s">
        <v>132</v>
      </c>
      <c r="AJ200" s="13" t="s">
        <v>69</v>
      </c>
      <c r="AK200" s="13" t="s">
        <v>69</v>
      </c>
      <c r="AL200" s="13" t="s">
        <v>2699</v>
      </c>
      <c r="AM200" s="13" t="s">
        <v>2700</v>
      </c>
      <c r="AN200" s="13" t="s">
        <v>2505</v>
      </c>
      <c r="AO200" s="13" t="s">
        <v>69</v>
      </c>
      <c r="AP200" s="13" t="s">
        <v>2693</v>
      </c>
      <c r="AQ200" s="13" t="s">
        <v>2701</v>
      </c>
      <c r="AR200" s="13" t="s">
        <v>185</v>
      </c>
      <c r="AS200" s="13" t="s">
        <v>186</v>
      </c>
      <c r="AT200" s="13" t="s">
        <v>187</v>
      </c>
      <c r="AU200" s="13" t="s">
        <v>188</v>
      </c>
      <c r="AV200" s="13" t="s">
        <v>69</v>
      </c>
      <c r="AW200" s="13" t="s">
        <v>69</v>
      </c>
      <c r="AX200" s="13" t="s">
        <v>69</v>
      </c>
      <c r="AY200" s="13" t="s">
        <v>90</v>
      </c>
      <c r="AZ200" s="17" t="s">
        <v>69</v>
      </c>
      <c r="BA200" s="13" t="s">
        <v>69</v>
      </c>
      <c r="BB200" s="13" t="s">
        <v>92</v>
      </c>
      <c r="BC200" s="13" t="s">
        <v>93</v>
      </c>
      <c r="BD200" s="11" t="str">
        <f>HYPERLINK("http://kaufmann.de","kaufmann.de")</f>
        <v>kaufmann.de</v>
      </c>
      <c r="BE200" s="13" t="s">
        <v>69</v>
      </c>
      <c r="BF200" s="16">
        <v>50</v>
      </c>
      <c r="BG200" s="13" t="s">
        <v>2702</v>
      </c>
      <c r="BH200" s="13" t="s">
        <v>69</v>
      </c>
      <c r="BI200" s="13" t="s">
        <v>69</v>
      </c>
      <c r="BJ200" s="15">
        <v>1942</v>
      </c>
      <c r="BK200" s="13" t="s">
        <v>69</v>
      </c>
      <c r="BL200" s="14">
        <v>45704</v>
      </c>
      <c r="BM200" s="13" t="s">
        <v>69</v>
      </c>
      <c r="BN200" s="13" t="s">
        <v>69</v>
      </c>
      <c r="BO200" s="11" t="str">
        <f>HYPERLINK("https://my.pitchbook.com?c=751433-23","View Company Online")</f>
        <v>View Company Online</v>
      </c>
    </row>
    <row r="201" spans="1:67" x14ac:dyDescent="0.3">
      <c r="A201" s="3" t="s">
        <v>2703</v>
      </c>
      <c r="B201" s="3" t="s">
        <v>2704</v>
      </c>
      <c r="C201" s="3" t="s">
        <v>69</v>
      </c>
      <c r="D201" s="5" t="s">
        <v>69</v>
      </c>
      <c r="E201" s="3" t="s">
        <v>69</v>
      </c>
      <c r="F201" s="3" t="s">
        <v>69</v>
      </c>
      <c r="G201" s="3" t="s">
        <v>69</v>
      </c>
      <c r="H201" s="3" t="s">
        <v>69</v>
      </c>
      <c r="I201" s="4" t="s">
        <v>69</v>
      </c>
      <c r="J201" s="7" t="s">
        <v>69</v>
      </c>
      <c r="K201" s="4" t="s">
        <v>69</v>
      </c>
      <c r="L201" s="4" t="s">
        <v>69</v>
      </c>
      <c r="M201" s="4" t="s">
        <v>69</v>
      </c>
      <c r="N201" s="4" t="s">
        <v>69</v>
      </c>
      <c r="O201" s="4" t="s">
        <v>69</v>
      </c>
      <c r="P201" s="4" t="s">
        <v>69</v>
      </c>
      <c r="Q201" s="4">
        <v>0</v>
      </c>
      <c r="R201" s="6" t="s">
        <v>118</v>
      </c>
      <c r="S201" s="3" t="s">
        <v>69</v>
      </c>
      <c r="T201" s="3" t="s">
        <v>69</v>
      </c>
      <c r="U201" s="3" t="s">
        <v>69</v>
      </c>
      <c r="V201" s="3" t="s">
        <v>69</v>
      </c>
      <c r="W201" s="3" t="s">
        <v>69</v>
      </c>
      <c r="X201" s="3" t="s">
        <v>2705</v>
      </c>
      <c r="Y201" s="3" t="s">
        <v>2706</v>
      </c>
      <c r="Z201" s="3" t="s">
        <v>69</v>
      </c>
      <c r="AA201" s="3" t="s">
        <v>2707</v>
      </c>
      <c r="AB201" s="3" t="s">
        <v>2708</v>
      </c>
      <c r="AC201" s="6" t="s">
        <v>2709</v>
      </c>
      <c r="AD201" s="3" t="s">
        <v>128</v>
      </c>
      <c r="AE201" s="6" t="s">
        <v>69</v>
      </c>
      <c r="AF201" s="6" t="s">
        <v>69</v>
      </c>
      <c r="AG201" s="3" t="s">
        <v>69</v>
      </c>
      <c r="AH201" s="3" t="s">
        <v>78</v>
      </c>
      <c r="AI201" s="3" t="s">
        <v>132</v>
      </c>
      <c r="AJ201" s="3" t="s">
        <v>69</v>
      </c>
      <c r="AK201" s="3" t="s">
        <v>69</v>
      </c>
      <c r="AL201" s="3" t="s">
        <v>2710</v>
      </c>
      <c r="AM201" s="3" t="s">
        <v>2711</v>
      </c>
      <c r="AN201" s="3" t="s">
        <v>2712</v>
      </c>
      <c r="AO201" s="3" t="s">
        <v>69</v>
      </c>
      <c r="AP201" s="3" t="s">
        <v>2703</v>
      </c>
      <c r="AQ201" s="3" t="s">
        <v>2713</v>
      </c>
      <c r="AR201" s="3" t="s">
        <v>85</v>
      </c>
      <c r="AS201" s="3" t="s">
        <v>211</v>
      </c>
      <c r="AT201" s="3" t="s">
        <v>212</v>
      </c>
      <c r="AU201" s="3" t="s">
        <v>1576</v>
      </c>
      <c r="AV201" s="3" t="s">
        <v>69</v>
      </c>
      <c r="AW201" s="3" t="s">
        <v>69</v>
      </c>
      <c r="AX201" s="3" t="s">
        <v>69</v>
      </c>
      <c r="AY201" s="3" t="s">
        <v>90</v>
      </c>
      <c r="AZ201" s="8" t="s">
        <v>69</v>
      </c>
      <c r="BA201" s="3" t="s">
        <v>69</v>
      </c>
      <c r="BB201" s="3" t="s">
        <v>92</v>
      </c>
      <c r="BC201" s="3" t="s">
        <v>93</v>
      </c>
      <c r="BD201" s="12" t="str">
        <f>HYPERLINK("http://kaufmann.biz","kaufmann.biz")</f>
        <v>kaufmann.biz</v>
      </c>
      <c r="BE201" s="3" t="s">
        <v>69</v>
      </c>
      <c r="BF201" s="9">
        <v>50</v>
      </c>
      <c r="BG201" s="3" t="s">
        <v>2714</v>
      </c>
      <c r="BH201" s="3" t="s">
        <v>69</v>
      </c>
      <c r="BI201" s="3" t="s">
        <v>69</v>
      </c>
      <c r="BJ201" s="10">
        <v>2000</v>
      </c>
      <c r="BK201" s="3" t="s">
        <v>69</v>
      </c>
      <c r="BL201" s="1">
        <v>45704</v>
      </c>
      <c r="BM201" s="3" t="s">
        <v>69</v>
      </c>
      <c r="BN201" s="3" t="s">
        <v>69</v>
      </c>
      <c r="BO201" s="12" t="str">
        <f>HYPERLINK("https://my.pitchbook.com?c=750704-50","View Company Online")</f>
        <v>View Company Online</v>
      </c>
    </row>
    <row r="202" spans="1:67" x14ac:dyDescent="0.3">
      <c r="A202" s="13" t="s">
        <v>2715</v>
      </c>
      <c r="B202" s="13" t="s">
        <v>2716</v>
      </c>
      <c r="C202" s="13" t="s">
        <v>69</v>
      </c>
      <c r="D202" s="21" t="s">
        <v>69</v>
      </c>
      <c r="E202" s="13" t="s">
        <v>69</v>
      </c>
      <c r="F202" s="13" t="s">
        <v>69</v>
      </c>
      <c r="G202" s="13" t="s">
        <v>69</v>
      </c>
      <c r="H202" s="13" t="s">
        <v>69</v>
      </c>
      <c r="I202" s="19" t="s">
        <v>69</v>
      </c>
      <c r="J202" s="20" t="s">
        <v>69</v>
      </c>
      <c r="K202" s="19" t="s">
        <v>69</v>
      </c>
      <c r="L202" s="19" t="s">
        <v>69</v>
      </c>
      <c r="M202" s="19" t="s">
        <v>69</v>
      </c>
      <c r="N202" s="19" t="s">
        <v>69</v>
      </c>
      <c r="O202" s="19" t="s">
        <v>69</v>
      </c>
      <c r="P202" s="19" t="s">
        <v>69</v>
      </c>
      <c r="Q202" s="19" t="s">
        <v>69</v>
      </c>
      <c r="R202" s="18" t="s">
        <v>69</v>
      </c>
      <c r="S202" s="13" t="s">
        <v>69</v>
      </c>
      <c r="T202" s="13" t="s">
        <v>69</v>
      </c>
      <c r="U202" s="13" t="s">
        <v>69</v>
      </c>
      <c r="V202" s="13" t="s">
        <v>69</v>
      </c>
      <c r="W202" s="13" t="s">
        <v>69</v>
      </c>
      <c r="X202" s="13" t="s">
        <v>2717</v>
      </c>
      <c r="Y202" s="13" t="s">
        <v>2718</v>
      </c>
      <c r="Z202" s="13" t="s">
        <v>69</v>
      </c>
      <c r="AA202" s="13" t="s">
        <v>2719</v>
      </c>
      <c r="AB202" s="13" t="s">
        <v>69</v>
      </c>
      <c r="AC202" s="18" t="s">
        <v>2720</v>
      </c>
      <c r="AD202" s="13" t="s">
        <v>497</v>
      </c>
      <c r="AE202" s="18" t="s">
        <v>69</v>
      </c>
      <c r="AF202" s="18" t="s">
        <v>69</v>
      </c>
      <c r="AG202" s="13" t="s">
        <v>69</v>
      </c>
      <c r="AH202" s="13" t="s">
        <v>78</v>
      </c>
      <c r="AI202" s="13" t="s">
        <v>132</v>
      </c>
      <c r="AJ202" s="13" t="s">
        <v>69</v>
      </c>
      <c r="AK202" s="13" t="s">
        <v>69</v>
      </c>
      <c r="AL202" s="13" t="s">
        <v>69</v>
      </c>
      <c r="AM202" s="13" t="s">
        <v>69</v>
      </c>
      <c r="AN202" s="13" t="s">
        <v>69</v>
      </c>
      <c r="AO202" s="13" t="s">
        <v>69</v>
      </c>
      <c r="AP202" s="13" t="s">
        <v>2715</v>
      </c>
      <c r="AQ202" s="13" t="s">
        <v>2721</v>
      </c>
      <c r="AR202" s="13" t="s">
        <v>85</v>
      </c>
      <c r="AS202" s="13" t="s">
        <v>86</v>
      </c>
      <c r="AT202" s="13" t="s">
        <v>87</v>
      </c>
      <c r="AU202" s="13" t="s">
        <v>112</v>
      </c>
      <c r="AV202" s="13" t="s">
        <v>69</v>
      </c>
      <c r="AW202" s="13" t="s">
        <v>2722</v>
      </c>
      <c r="AX202" s="13" t="s">
        <v>69</v>
      </c>
      <c r="AY202" s="13" t="s">
        <v>90</v>
      </c>
      <c r="AZ202" s="17" t="s">
        <v>69</v>
      </c>
      <c r="BA202" s="13" t="s">
        <v>69</v>
      </c>
      <c r="BB202" s="13" t="s">
        <v>92</v>
      </c>
      <c r="BC202" s="13" t="s">
        <v>93</v>
      </c>
      <c r="BD202" s="11" t="str">
        <f>HYPERLINK("http://witschi.com","witschi.com")</f>
        <v>witschi.com</v>
      </c>
      <c r="BE202" s="11" t="str">
        <f>HYPERLINK("http://www.linkedin.com/company/witschi-electronic-ag","http://www.linkedin.com/company/witschi-electronic-ag")</f>
        <v>http://www.linkedin.com/company/witschi-electronic-ag</v>
      </c>
      <c r="BF202" s="16">
        <v>61</v>
      </c>
      <c r="BG202" s="13" t="s">
        <v>2723</v>
      </c>
      <c r="BH202" s="13" t="s">
        <v>69</v>
      </c>
      <c r="BI202" s="13" t="s">
        <v>69</v>
      </c>
      <c r="BJ202" s="15">
        <v>1947</v>
      </c>
      <c r="BK202" s="13" t="s">
        <v>69</v>
      </c>
      <c r="BL202" s="14">
        <v>45699</v>
      </c>
      <c r="BM202" s="13" t="s">
        <v>69</v>
      </c>
      <c r="BN202" s="13" t="s">
        <v>69</v>
      </c>
      <c r="BO202" s="11" t="str">
        <f>HYPERLINK("https://my.pitchbook.com?c=749026-18","View Company Online")</f>
        <v>View Company Online</v>
      </c>
    </row>
    <row r="203" spans="1:67" x14ac:dyDescent="0.3">
      <c r="A203" s="3" t="s">
        <v>2724</v>
      </c>
      <c r="B203" s="3" t="s">
        <v>2725</v>
      </c>
      <c r="C203" s="3" t="s">
        <v>69</v>
      </c>
      <c r="D203" s="5" t="s">
        <v>69</v>
      </c>
      <c r="E203" s="3" t="s">
        <v>69</v>
      </c>
      <c r="F203" s="3" t="s">
        <v>69</v>
      </c>
      <c r="G203" s="3" t="s">
        <v>69</v>
      </c>
      <c r="H203" s="3" t="s">
        <v>69</v>
      </c>
      <c r="I203" s="4" t="s">
        <v>69</v>
      </c>
      <c r="J203" s="7" t="s">
        <v>69</v>
      </c>
      <c r="K203" s="4" t="s">
        <v>69</v>
      </c>
      <c r="L203" s="4" t="s">
        <v>69</v>
      </c>
      <c r="M203" s="4" t="s">
        <v>69</v>
      </c>
      <c r="N203" s="4" t="s">
        <v>69</v>
      </c>
      <c r="O203" s="4" t="s">
        <v>69</v>
      </c>
      <c r="P203" s="4" t="s">
        <v>69</v>
      </c>
      <c r="Q203" s="4" t="s">
        <v>69</v>
      </c>
      <c r="R203" s="6" t="s">
        <v>69</v>
      </c>
      <c r="S203" s="3" t="s">
        <v>69</v>
      </c>
      <c r="T203" s="3" t="s">
        <v>69</v>
      </c>
      <c r="U203" s="3" t="s">
        <v>69</v>
      </c>
      <c r="V203" s="3" t="s">
        <v>69</v>
      </c>
      <c r="W203" s="3" t="s">
        <v>69</v>
      </c>
      <c r="X203" s="3" t="s">
        <v>2726</v>
      </c>
      <c r="Y203" s="3" t="s">
        <v>2727</v>
      </c>
      <c r="Z203" s="3" t="s">
        <v>69</v>
      </c>
      <c r="AA203" s="3" t="s">
        <v>2728</v>
      </c>
      <c r="AB203" s="3" t="s">
        <v>69</v>
      </c>
      <c r="AC203" s="6" t="s">
        <v>2729</v>
      </c>
      <c r="AD203" s="3" t="s">
        <v>2730</v>
      </c>
      <c r="AE203" s="6" t="s">
        <v>69</v>
      </c>
      <c r="AF203" s="6" t="s">
        <v>69</v>
      </c>
      <c r="AG203" s="3" t="s">
        <v>69</v>
      </c>
      <c r="AH203" s="3" t="s">
        <v>912</v>
      </c>
      <c r="AI203" s="3" t="s">
        <v>912</v>
      </c>
      <c r="AJ203" s="3" t="s">
        <v>69</v>
      </c>
      <c r="AK203" s="3" t="s">
        <v>69</v>
      </c>
      <c r="AL203" s="3" t="s">
        <v>69</v>
      </c>
      <c r="AM203" s="3" t="s">
        <v>69</v>
      </c>
      <c r="AN203" s="3" t="s">
        <v>69</v>
      </c>
      <c r="AO203" s="3" t="s">
        <v>69</v>
      </c>
      <c r="AP203" s="3" t="s">
        <v>2724</v>
      </c>
      <c r="AQ203" s="3" t="s">
        <v>2731</v>
      </c>
      <c r="AR203" s="3" t="s">
        <v>85</v>
      </c>
      <c r="AS203" s="3" t="s">
        <v>271</v>
      </c>
      <c r="AT203" s="3" t="s">
        <v>272</v>
      </c>
      <c r="AU203" s="3" t="s">
        <v>1537</v>
      </c>
      <c r="AV203" s="3" t="s">
        <v>69</v>
      </c>
      <c r="AW203" s="3" t="s">
        <v>69</v>
      </c>
      <c r="AX203" s="3" t="s">
        <v>69</v>
      </c>
      <c r="AY203" s="3" t="s">
        <v>90</v>
      </c>
      <c r="AZ203" s="8" t="s">
        <v>69</v>
      </c>
      <c r="BA203" s="3" t="s">
        <v>69</v>
      </c>
      <c r="BB203" s="3" t="s">
        <v>92</v>
      </c>
      <c r="BC203" s="3" t="s">
        <v>93</v>
      </c>
      <c r="BD203" s="12" t="str">
        <f>HYPERLINK("http://xcite.com","xcite.com")</f>
        <v>xcite.com</v>
      </c>
      <c r="BE203" s="12" t="str">
        <f>HYPERLINK("http://www.linkedin.com/company/xcitealghanim","http://www.linkedin.com/company/xcitealghanim")</f>
        <v>http://www.linkedin.com/company/xcitealghanim</v>
      </c>
      <c r="BF203" s="9">
        <v>1003</v>
      </c>
      <c r="BG203" s="3" t="s">
        <v>2732</v>
      </c>
      <c r="BH203" s="3" t="s">
        <v>69</v>
      </c>
      <c r="BI203" s="3" t="s">
        <v>69</v>
      </c>
      <c r="BJ203" s="10" t="s">
        <v>69</v>
      </c>
      <c r="BK203" s="3" t="s">
        <v>69</v>
      </c>
      <c r="BL203" s="1">
        <v>45508</v>
      </c>
      <c r="BM203" s="3" t="s">
        <v>69</v>
      </c>
      <c r="BN203" s="3" t="s">
        <v>69</v>
      </c>
      <c r="BO203" s="12" t="str">
        <f>HYPERLINK("https://my.pitchbook.com?c=619716-43","View Company Online")</f>
        <v>View Company Online</v>
      </c>
    </row>
    <row r="204" spans="1:67" x14ac:dyDescent="0.3">
      <c r="A204" s="13" t="s">
        <v>2733</v>
      </c>
      <c r="B204" s="13" t="s">
        <v>2734</v>
      </c>
      <c r="C204" s="13" t="s">
        <v>69</v>
      </c>
      <c r="D204" s="21" t="s">
        <v>69</v>
      </c>
      <c r="E204" s="13" t="s">
        <v>69</v>
      </c>
      <c r="F204" s="13" t="s">
        <v>69</v>
      </c>
      <c r="G204" s="13" t="s">
        <v>69</v>
      </c>
      <c r="H204" s="13" t="s">
        <v>69</v>
      </c>
      <c r="I204" s="19" t="s">
        <v>69</v>
      </c>
      <c r="J204" s="20" t="s">
        <v>69</v>
      </c>
      <c r="K204" s="19" t="s">
        <v>69</v>
      </c>
      <c r="L204" s="19" t="s">
        <v>69</v>
      </c>
      <c r="M204" s="19" t="s">
        <v>69</v>
      </c>
      <c r="N204" s="19" t="s">
        <v>69</v>
      </c>
      <c r="O204" s="19" t="s">
        <v>69</v>
      </c>
      <c r="P204" s="19" t="s">
        <v>69</v>
      </c>
      <c r="Q204" s="19" t="s">
        <v>69</v>
      </c>
      <c r="R204" s="18" t="s">
        <v>69</v>
      </c>
      <c r="S204" s="13" t="s">
        <v>69</v>
      </c>
      <c r="T204" s="13" t="s">
        <v>69</v>
      </c>
      <c r="U204" s="13" t="s">
        <v>69</v>
      </c>
      <c r="V204" s="13" t="s">
        <v>69</v>
      </c>
      <c r="W204" s="13" t="s">
        <v>69</v>
      </c>
      <c r="X204" s="13" t="s">
        <v>1860</v>
      </c>
      <c r="Y204" s="13" t="s">
        <v>2735</v>
      </c>
      <c r="Z204" s="13" t="s">
        <v>2736</v>
      </c>
      <c r="AA204" s="13" t="s">
        <v>1863</v>
      </c>
      <c r="AB204" s="13" t="s">
        <v>2737</v>
      </c>
      <c r="AC204" s="18" t="s">
        <v>69</v>
      </c>
      <c r="AD204" s="13" t="s">
        <v>1864</v>
      </c>
      <c r="AE204" s="18" t="s">
        <v>2738</v>
      </c>
      <c r="AF204" s="18" t="s">
        <v>2739</v>
      </c>
      <c r="AG204" s="13" t="s">
        <v>69</v>
      </c>
      <c r="AH204" s="13" t="s">
        <v>446</v>
      </c>
      <c r="AI204" s="13" t="s">
        <v>447</v>
      </c>
      <c r="AJ204" s="13" t="s">
        <v>69</v>
      </c>
      <c r="AK204" s="13" t="s">
        <v>69</v>
      </c>
      <c r="AL204" s="13" t="s">
        <v>2740</v>
      </c>
      <c r="AM204" s="13" t="s">
        <v>69</v>
      </c>
      <c r="AN204" s="13" t="s">
        <v>69</v>
      </c>
      <c r="AO204" s="13" t="s">
        <v>69</v>
      </c>
      <c r="AP204" s="13" t="s">
        <v>2733</v>
      </c>
      <c r="AQ204" s="13" t="s">
        <v>2741</v>
      </c>
      <c r="AR204" s="13" t="s">
        <v>422</v>
      </c>
      <c r="AS204" s="13" t="s">
        <v>986</v>
      </c>
      <c r="AT204" s="13" t="s">
        <v>987</v>
      </c>
      <c r="AU204" s="13" t="s">
        <v>988</v>
      </c>
      <c r="AV204" s="13" t="s">
        <v>214</v>
      </c>
      <c r="AW204" s="13" t="s">
        <v>2742</v>
      </c>
      <c r="AX204" s="13" t="s">
        <v>69</v>
      </c>
      <c r="AY204" s="13" t="s">
        <v>90</v>
      </c>
      <c r="AZ204" s="17" t="s">
        <v>69</v>
      </c>
      <c r="BA204" s="13" t="s">
        <v>91</v>
      </c>
      <c r="BB204" s="13" t="s">
        <v>92</v>
      </c>
      <c r="BC204" s="13" t="s">
        <v>93</v>
      </c>
      <c r="BD204" s="11" t="str">
        <f>HYPERLINK("http://www.yihuatft.com","www.yihuatft.com")</f>
        <v>www.yihuatft.com</v>
      </c>
      <c r="BE204" s="13" t="s">
        <v>69</v>
      </c>
      <c r="BF204" s="16">
        <v>2000</v>
      </c>
      <c r="BG204" s="13" t="s">
        <v>2743</v>
      </c>
      <c r="BH204" s="13" t="s">
        <v>69</v>
      </c>
      <c r="BI204" s="13" t="s">
        <v>69</v>
      </c>
      <c r="BJ204" s="15">
        <v>2007</v>
      </c>
      <c r="BK204" s="13" t="s">
        <v>69</v>
      </c>
      <c r="BL204" s="14">
        <v>45159</v>
      </c>
      <c r="BM204" s="13" t="s">
        <v>69</v>
      </c>
      <c r="BN204" s="13" t="s">
        <v>69</v>
      </c>
      <c r="BO204" s="11" t="str">
        <f>HYPERLINK("https://my.pitchbook.com?c=517538-44","View Company Online")</f>
        <v>View Company Online</v>
      </c>
    </row>
    <row r="205" spans="1:67" x14ac:dyDescent="0.3">
      <c r="A205" s="3" t="s">
        <v>2744</v>
      </c>
      <c r="B205" s="3" t="s">
        <v>2745</v>
      </c>
      <c r="C205" s="3" t="s">
        <v>69</v>
      </c>
      <c r="D205" s="5" t="s">
        <v>69</v>
      </c>
      <c r="E205" s="3" t="s">
        <v>69</v>
      </c>
      <c r="F205" s="3" t="s">
        <v>69</v>
      </c>
      <c r="G205" s="3" t="s">
        <v>69</v>
      </c>
      <c r="H205" s="3" t="s">
        <v>69</v>
      </c>
      <c r="I205" s="4" t="s">
        <v>69</v>
      </c>
      <c r="J205" s="7" t="s">
        <v>69</v>
      </c>
      <c r="K205" s="4" t="s">
        <v>69</v>
      </c>
      <c r="L205" s="4" t="s">
        <v>69</v>
      </c>
      <c r="M205" s="4" t="s">
        <v>69</v>
      </c>
      <c r="N205" s="4" t="s">
        <v>69</v>
      </c>
      <c r="O205" s="4" t="s">
        <v>69</v>
      </c>
      <c r="P205" s="4" t="s">
        <v>69</v>
      </c>
      <c r="Q205" s="4" t="s">
        <v>69</v>
      </c>
      <c r="R205" s="6" t="s">
        <v>69</v>
      </c>
      <c r="S205" s="3" t="s">
        <v>69</v>
      </c>
      <c r="T205" s="3" t="s">
        <v>69</v>
      </c>
      <c r="U205" s="3" t="s">
        <v>69</v>
      </c>
      <c r="V205" s="3" t="s">
        <v>69</v>
      </c>
      <c r="W205" s="3" t="s">
        <v>69</v>
      </c>
      <c r="X205" s="3" t="s">
        <v>949</v>
      </c>
      <c r="Y205" s="3" t="s">
        <v>69</v>
      </c>
      <c r="Z205" s="3" t="s">
        <v>69</v>
      </c>
      <c r="AA205" s="3" t="s">
        <v>950</v>
      </c>
      <c r="AB205" s="3" t="s">
        <v>417</v>
      </c>
      <c r="AC205" s="6" t="s">
        <v>2746</v>
      </c>
      <c r="AD205" s="3" t="s">
        <v>378</v>
      </c>
      <c r="AE205" s="6" t="s">
        <v>2747</v>
      </c>
      <c r="AF205" s="6" t="s">
        <v>69</v>
      </c>
      <c r="AG205" s="3" t="s">
        <v>69</v>
      </c>
      <c r="AH205" s="3" t="s">
        <v>379</v>
      </c>
      <c r="AI205" s="3" t="s">
        <v>380</v>
      </c>
      <c r="AJ205" s="3" t="s">
        <v>69</v>
      </c>
      <c r="AK205" s="3" t="s">
        <v>69</v>
      </c>
      <c r="AL205" s="3" t="s">
        <v>69</v>
      </c>
      <c r="AM205" s="3" t="s">
        <v>69</v>
      </c>
      <c r="AN205" s="3" t="s">
        <v>69</v>
      </c>
      <c r="AO205" s="3" t="s">
        <v>69</v>
      </c>
      <c r="AP205" s="3" t="s">
        <v>2744</v>
      </c>
      <c r="AQ205" s="3" t="s">
        <v>2748</v>
      </c>
      <c r="AR205" s="3" t="s">
        <v>422</v>
      </c>
      <c r="AS205" s="3" t="s">
        <v>423</v>
      </c>
      <c r="AT205" s="3" t="s">
        <v>1181</v>
      </c>
      <c r="AU205" s="3" t="s">
        <v>2749</v>
      </c>
      <c r="AV205" s="3" t="s">
        <v>69</v>
      </c>
      <c r="AW205" s="3" t="s">
        <v>2750</v>
      </c>
      <c r="AX205" s="3" t="s">
        <v>69</v>
      </c>
      <c r="AY205" s="3" t="s">
        <v>90</v>
      </c>
      <c r="AZ205" s="8" t="s">
        <v>69</v>
      </c>
      <c r="BA205" s="3" t="s">
        <v>91</v>
      </c>
      <c r="BB205" s="3" t="s">
        <v>92</v>
      </c>
      <c r="BC205" s="3" t="s">
        <v>93</v>
      </c>
      <c r="BD205" s="12" t="str">
        <f>HYPERLINK("http://zadok.com","zadok.com")</f>
        <v>zadok.com</v>
      </c>
      <c r="BE205" s="12" t="str">
        <f>HYPERLINK("http://www.linkedin.com/company/zadok-jewelers","http://www.linkedin.com/company/zadok-jewelers")</f>
        <v>http://www.linkedin.com/company/zadok-jewelers</v>
      </c>
      <c r="BF205" s="9">
        <v>59</v>
      </c>
      <c r="BG205" s="3" t="s">
        <v>2751</v>
      </c>
      <c r="BH205" s="3" t="s">
        <v>69</v>
      </c>
      <c r="BI205" s="3" t="s">
        <v>69</v>
      </c>
      <c r="BJ205" s="10">
        <v>1968</v>
      </c>
      <c r="BK205" s="3" t="s">
        <v>69</v>
      </c>
      <c r="BL205" s="1">
        <v>45216</v>
      </c>
      <c r="BM205" s="3" t="s">
        <v>69</v>
      </c>
      <c r="BN205" s="3" t="s">
        <v>69</v>
      </c>
      <c r="BO205" s="12" t="str">
        <f>HYPERLINK("https://my.pitchbook.com?c=244641-07","View Company Online")</f>
        <v>View Company Online</v>
      </c>
    </row>
    <row r="206" spans="1:67" x14ac:dyDescent="0.3">
      <c r="A206" s="13" t="s">
        <v>2752</v>
      </c>
      <c r="B206" s="13" t="s">
        <v>2753</v>
      </c>
      <c r="C206" s="13" t="s">
        <v>69</v>
      </c>
      <c r="D206" s="21" t="s">
        <v>69</v>
      </c>
      <c r="E206" s="13" t="s">
        <v>69</v>
      </c>
      <c r="F206" s="13" t="s">
        <v>69</v>
      </c>
      <c r="G206" s="13" t="s">
        <v>69</v>
      </c>
      <c r="H206" s="13" t="s">
        <v>69</v>
      </c>
      <c r="I206" s="19" t="s">
        <v>69</v>
      </c>
      <c r="J206" s="20" t="s">
        <v>69</v>
      </c>
      <c r="K206" s="19">
        <v>16.63</v>
      </c>
      <c r="L206" s="19">
        <v>1.03</v>
      </c>
      <c r="M206" s="19" t="s">
        <v>69</v>
      </c>
      <c r="N206" s="19">
        <v>2.2799999999999998</v>
      </c>
      <c r="O206" s="19">
        <v>1.66</v>
      </c>
      <c r="P206" s="19" t="s">
        <v>69</v>
      </c>
      <c r="Q206" s="19">
        <v>3.07</v>
      </c>
      <c r="R206" s="18" t="s">
        <v>70</v>
      </c>
      <c r="S206" s="13" t="s">
        <v>69</v>
      </c>
      <c r="T206" s="13" t="s">
        <v>69</v>
      </c>
      <c r="U206" s="13" t="s">
        <v>69</v>
      </c>
      <c r="V206" s="13" t="s">
        <v>69</v>
      </c>
      <c r="W206" s="13" t="s">
        <v>69</v>
      </c>
      <c r="X206" s="13" t="s">
        <v>2754</v>
      </c>
      <c r="Y206" s="13" t="s">
        <v>2755</v>
      </c>
      <c r="Z206" s="13" t="s">
        <v>69</v>
      </c>
      <c r="AA206" s="13" t="s">
        <v>2756</v>
      </c>
      <c r="AB206" s="13" t="s">
        <v>1313</v>
      </c>
      <c r="AC206" s="18" t="s">
        <v>2757</v>
      </c>
      <c r="AD206" s="13" t="s">
        <v>128</v>
      </c>
      <c r="AE206" s="18" t="s">
        <v>69</v>
      </c>
      <c r="AF206" s="18" t="s">
        <v>69</v>
      </c>
      <c r="AG206" s="13" t="s">
        <v>69</v>
      </c>
      <c r="AH206" s="13" t="s">
        <v>78</v>
      </c>
      <c r="AI206" s="13" t="s">
        <v>132</v>
      </c>
      <c r="AJ206" s="13" t="s">
        <v>2758</v>
      </c>
      <c r="AK206" s="13" t="s">
        <v>69</v>
      </c>
      <c r="AL206" s="13" t="s">
        <v>2759</v>
      </c>
      <c r="AM206" s="13" t="s">
        <v>2760</v>
      </c>
      <c r="AN206" s="13" t="s">
        <v>2761</v>
      </c>
      <c r="AO206" s="13" t="s">
        <v>69</v>
      </c>
      <c r="AP206" s="13" t="s">
        <v>2752</v>
      </c>
      <c r="AQ206" s="13" t="s">
        <v>2762</v>
      </c>
      <c r="AR206" s="13" t="s">
        <v>185</v>
      </c>
      <c r="AS206" s="13" t="s">
        <v>186</v>
      </c>
      <c r="AT206" s="13" t="s">
        <v>877</v>
      </c>
      <c r="AU206" s="13" t="s">
        <v>878</v>
      </c>
      <c r="AV206" s="13" t="s">
        <v>69</v>
      </c>
      <c r="AW206" s="13" t="s">
        <v>69</v>
      </c>
      <c r="AX206" s="13" t="s">
        <v>69</v>
      </c>
      <c r="AY206" s="13" t="s">
        <v>90</v>
      </c>
      <c r="AZ206" s="17" t="s">
        <v>69</v>
      </c>
      <c r="BA206" s="13" t="s">
        <v>69</v>
      </c>
      <c r="BB206" s="13" t="s">
        <v>92</v>
      </c>
      <c r="BC206" s="13" t="s">
        <v>93</v>
      </c>
      <c r="BD206" s="11" t="str">
        <f>HYPERLINK("http://zecha.de","zecha.de")</f>
        <v>zecha.de</v>
      </c>
      <c r="BE206" s="13" t="s">
        <v>69</v>
      </c>
      <c r="BF206" s="16">
        <v>117</v>
      </c>
      <c r="BG206" s="13" t="s">
        <v>2763</v>
      </c>
      <c r="BH206" s="13" t="s">
        <v>69</v>
      </c>
      <c r="BI206" s="13" t="s">
        <v>69</v>
      </c>
      <c r="BJ206" s="15">
        <v>1999</v>
      </c>
      <c r="BK206" s="13" t="s">
        <v>69</v>
      </c>
      <c r="BL206" s="14">
        <v>45648</v>
      </c>
      <c r="BM206" s="13" t="s">
        <v>69</v>
      </c>
      <c r="BN206" s="13" t="s">
        <v>69</v>
      </c>
      <c r="BO206" s="11" t="str">
        <f>HYPERLINK("https://my.pitchbook.com?c=604611-10","View Company Online")</f>
        <v>View Company Online</v>
      </c>
    </row>
    <row r="208" spans="1:67" x14ac:dyDescent="0.3">
      <c r="A208" s="22" t="s">
        <v>2764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heetViews>
  <sheetFormatPr defaultRowHeight="14.4" x14ac:dyDescent="0.3"/>
  <cols>
    <col min="1" max="1" width="10.5546875" customWidth="1"/>
    <col min="2" max="2" width="49.109375" customWidth="1"/>
    <col min="3" max="3" width="27.6640625" customWidth="1"/>
    <col min="4" max="4" width="4.5546875" customWidth="1"/>
    <col min="5" max="5" width="22.109375" customWidth="1"/>
  </cols>
  <sheetData>
    <row r="1" spans="1:5" ht="21" x14ac:dyDescent="0.3">
      <c r="A1" s="23" t="s">
        <v>2765</v>
      </c>
    </row>
    <row r="3" spans="1:5" ht="15" x14ac:dyDescent="0.3">
      <c r="A3" s="24" t="s">
        <v>2766</v>
      </c>
    </row>
    <row r="4" spans="1:5" ht="15" x14ac:dyDescent="0.3">
      <c r="A4" s="25" t="s">
        <v>2767</v>
      </c>
    </row>
    <row r="6" spans="1:5" ht="15" x14ac:dyDescent="0.3">
      <c r="A6" s="24" t="s">
        <v>2768</v>
      </c>
      <c r="C6" s="25" t="s">
        <v>2769</v>
      </c>
      <c r="E6" s="24" t="s">
        <v>2770</v>
      </c>
    </row>
    <row r="8" spans="1:5" ht="15" x14ac:dyDescent="0.3">
      <c r="A8" s="24" t="s">
        <v>2771</v>
      </c>
    </row>
    <row r="9" spans="1:5" ht="15" x14ac:dyDescent="0.3">
      <c r="A9" s="26" t="s">
        <v>2772</v>
      </c>
      <c r="B9" s="24" t="s">
        <v>2773</v>
      </c>
    </row>
    <row r="10" spans="1:5" ht="15" x14ac:dyDescent="0.3">
      <c r="A10" s="26" t="s">
        <v>2774</v>
      </c>
      <c r="B10" s="24" t="s">
        <v>2775</v>
      </c>
    </row>
    <row r="11" spans="1:5" ht="15" x14ac:dyDescent="0.3">
      <c r="A11" s="26" t="s">
        <v>2776</v>
      </c>
      <c r="B11" s="24" t="s">
        <v>2777</v>
      </c>
    </row>
    <row r="13" spans="1:5" ht="15" x14ac:dyDescent="0.3">
      <c r="A13" s="24" t="s">
        <v>2778</v>
      </c>
      <c r="B13" s="25" t="s">
        <v>2767</v>
      </c>
    </row>
    <row r="15" spans="1:5" x14ac:dyDescent="0.3">
      <c r="A15" s="22" t="s">
        <v>2764</v>
      </c>
    </row>
  </sheetData>
  <sheetProtection algorithmName="SHA-512" hashValue="uDxZ5D61Lue+Ozrj7sNNp6J8f4LxXadI1BX4D3pZMtzC+xYvFvILmxK4RYyrQBmhW6q4Z/ZdwdPUVkPkoqYdFg==" saltValue="LSPcogBWA3MyNhdgUfMV3A==" spinCount="100000" sheet="1" objects="1" scenarios="1"/>
  <hyperlinks>
    <hyperlink ref="A4" r:id="rId1" xr:uid="{00000000-0004-0000-0100-000000000000}"/>
    <hyperlink ref="C6" r:id="rId2" xr:uid="{00000000-0004-0000-0100-000001000000}"/>
    <hyperlink ref="B13"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Raghav Saxena</cp:lastModifiedBy>
  <dcterms:modified xsi:type="dcterms:W3CDTF">2025-04-21T09:09:24Z</dcterms:modified>
</cp:coreProperties>
</file>